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ЭтаКнига"/>
  <mc:AlternateContent xmlns:mc="http://schemas.openxmlformats.org/markup-compatibility/2006">
    <mc:Choice Requires="x15">
      <x15ac:absPath xmlns:x15ac="http://schemas.microsoft.com/office/spreadsheetml/2010/11/ac" url="\\expert.local\RA\Users\Banks\MFO\2021\Итоги 2020\Рабочая документация\сумматор\"/>
    </mc:Choice>
  </mc:AlternateContent>
  <xr:revisionPtr revIDLastSave="0" documentId="13_ncr:1_{5ED986DF-8D7D-4856-86E6-FE2A69200704}" xr6:coauthVersionLast="45" xr6:coauthVersionMax="45" xr10:uidLastSave="{00000000-0000-0000-0000-000000000000}"/>
  <bookViews>
    <workbookView xWindow="-120" yWindow="-120" windowWidth="29040" windowHeight="15840" tabRatio="789" firstSheet="3" activeTab="3" xr2:uid="{A8BF1F02-7E53-4050-BA0E-B28E31EB73EE}"/>
  </bookViews>
  <sheets>
    <sheet name="Табл 1 (2)" sheetId="43" state="hidden" r:id="rId1"/>
    <sheet name="ТБ1 (2)" sheetId="42" state="hidden" r:id="rId2"/>
    <sheet name="ТБ1" sheetId="14" state="hidden" r:id="rId3"/>
    <sheet name="Табл 1" sheetId="17" r:id="rId4"/>
    <sheet name="ТБ2" sheetId="18" state="hidden" r:id="rId5"/>
    <sheet name="Табл 2" sheetId="20" r:id="rId6"/>
    <sheet name="Табл 3" sheetId="22" r:id="rId7"/>
    <sheet name="ТБ3" sheetId="41" state="hidden" r:id="rId8"/>
    <sheet name="Табл 4" sheetId="24" r:id="rId9"/>
    <sheet name="ТБ4" sheetId="23" state="hidden" r:id="rId10"/>
    <sheet name="Табл 5" sheetId="26" r:id="rId11"/>
    <sheet name="ТБ5" sheetId="25" state="hidden" r:id="rId12"/>
    <sheet name="Табл 6" sheetId="29" r:id="rId13"/>
    <sheet name="ТБ6" sheetId="28" state="hidden" r:id="rId14"/>
    <sheet name="Табл 7" sheetId="30" r:id="rId15"/>
    <sheet name="ТБ7" sheetId="21" state="hidden" r:id="rId16"/>
    <sheet name="Табл 8" sheetId="33" r:id="rId17"/>
    <sheet name="ТБ8" sheetId="32" state="hidden" r:id="rId18"/>
    <sheet name="ТБ9" sheetId="34" state="hidden" r:id="rId19"/>
    <sheet name="Табл 11" sheetId="45" r:id="rId20"/>
    <sheet name="Расчет" sheetId="39" state="hidden" r:id="rId21"/>
    <sheet name="ТБ10" sheetId="37" state="hidden" r:id="rId22"/>
    <sheet name="Расчет 11" sheetId="40" state="hidden" r:id="rId23"/>
  </sheets>
  <externalReferences>
    <externalReference r:id="rId24"/>
    <externalReference r:id="rId25"/>
  </externalReferences>
  <definedNames>
    <definedName name="_xlnm._FilterDatabase" localSheetId="3" hidden="1">'Табл 1'!$A$2:$AN$2</definedName>
    <definedName name="_xlnm._FilterDatabase" localSheetId="19" hidden="1">'Табл 11'!$A$2:$J$2</definedName>
    <definedName name="_xlnm._FilterDatabase" localSheetId="5" hidden="1">'Табл 2'!$A$2:$J$2</definedName>
    <definedName name="_xlnm._FilterDatabase" localSheetId="8" hidden="1">'Табл 4'!$A$2:$O$2</definedName>
    <definedName name="_xlnm._FilterDatabase" localSheetId="10" hidden="1">'Табл 5'!$A$3:$R$3</definedName>
    <definedName name="_xlnm._FilterDatabase" localSheetId="12" hidden="1">'Табл 6'!$A$2:$N$2</definedName>
    <definedName name="_xlnm._FilterDatabase" localSheetId="14" hidden="1">'Табл 7'!$A$3:$J$3</definedName>
    <definedName name="_xlnm._FilterDatabase" localSheetId="16" hidden="1">'Табл 8'!$A$2:$L$2</definedName>
    <definedName name="_xlnm._FilterDatabase" localSheetId="2" hidden="1">ТБ1!$A$2:$Z$76</definedName>
    <definedName name="_xlnm._FilterDatabase" localSheetId="1" hidden="1">'ТБ1 (2)'!$A$2:$Z$76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30" l="1"/>
  <c r="I12" i="30" l="1"/>
  <c r="E27" i="17"/>
  <c r="F4" i="20" l="1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3" i="20"/>
  <c r="E4" i="20"/>
  <c r="E5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8" i="17"/>
  <c r="E19" i="17"/>
  <c r="E20" i="17"/>
  <c r="E21" i="17"/>
  <c r="E22" i="17"/>
  <c r="E23" i="17"/>
  <c r="E24" i="17"/>
  <c r="E25" i="17"/>
  <c r="E26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44" i="33" l="1"/>
  <c r="E38" i="33"/>
  <c r="E37" i="33"/>
  <c r="E40" i="33"/>
  <c r="I40" i="30" l="1"/>
  <c r="I42" i="30"/>
  <c r="I44" i="30"/>
  <c r="I46" i="30"/>
  <c r="I47" i="30"/>
  <c r="E33" i="33"/>
  <c r="I38" i="30" l="1"/>
  <c r="G38" i="30"/>
  <c r="D38" i="30"/>
  <c r="I4" i="29" l="1"/>
  <c r="I5" i="29"/>
  <c r="I6" i="29"/>
  <c r="I7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3" i="29"/>
  <c r="I3" i="24"/>
  <c r="I8" i="24" l="1"/>
  <c r="I5" i="26" l="1"/>
  <c r="J5" i="26"/>
  <c r="I6" i="26"/>
  <c r="J6" i="26"/>
  <c r="I7" i="26"/>
  <c r="J7" i="26"/>
  <c r="I8" i="26"/>
  <c r="J8" i="26"/>
  <c r="I9" i="26"/>
  <c r="J9" i="26"/>
  <c r="I13" i="26"/>
  <c r="J13" i="26"/>
  <c r="I10" i="26"/>
  <c r="J10" i="26"/>
  <c r="I11" i="26"/>
  <c r="J11" i="26"/>
  <c r="I12" i="26"/>
  <c r="J12" i="26"/>
  <c r="I14" i="26"/>
  <c r="J14" i="26"/>
  <c r="I15" i="26"/>
  <c r="J15" i="26"/>
  <c r="I16" i="26"/>
  <c r="J16" i="26"/>
  <c r="I17" i="26"/>
  <c r="J17" i="26"/>
  <c r="I18" i="26"/>
  <c r="J18" i="26"/>
  <c r="I19" i="26"/>
  <c r="J19" i="26"/>
  <c r="I20" i="26"/>
  <c r="J20" i="26"/>
  <c r="I21" i="26"/>
  <c r="J21" i="26"/>
  <c r="I22" i="26"/>
  <c r="J22" i="26"/>
  <c r="I23" i="26"/>
  <c r="J23" i="26"/>
  <c r="I24" i="26"/>
  <c r="J24" i="26"/>
  <c r="I25" i="24" l="1"/>
  <c r="I5" i="24"/>
  <c r="I6" i="24"/>
  <c r="I9" i="24"/>
  <c r="I7" i="24"/>
  <c r="I10" i="24"/>
  <c r="I11" i="24"/>
  <c r="I12" i="24"/>
  <c r="I13" i="24"/>
  <c r="I16" i="24"/>
  <c r="I15" i="24"/>
  <c r="I14" i="24"/>
  <c r="I17" i="24"/>
  <c r="I18" i="24"/>
  <c r="I19" i="24"/>
  <c r="I20" i="24"/>
  <c r="I21" i="24"/>
  <c r="I22" i="24"/>
  <c r="I23" i="24"/>
  <c r="I24" i="24"/>
  <c r="I5" i="22" l="1"/>
  <c r="J5" i="22"/>
  <c r="I6" i="22"/>
  <c r="I11" i="22"/>
  <c r="J11" i="22"/>
  <c r="I7" i="22"/>
  <c r="J7" i="22"/>
  <c r="I9" i="22"/>
  <c r="J9" i="22"/>
  <c r="I10" i="22"/>
  <c r="J10" i="22"/>
  <c r="I12" i="22"/>
  <c r="J12" i="22"/>
  <c r="I13" i="22"/>
  <c r="J13" i="22"/>
  <c r="I14" i="22"/>
  <c r="J14" i="22"/>
  <c r="I15" i="22"/>
  <c r="J15" i="22"/>
  <c r="I16" i="22"/>
  <c r="J16" i="22"/>
  <c r="I17" i="22"/>
  <c r="J17" i="22"/>
  <c r="I18" i="22"/>
  <c r="J18" i="22"/>
  <c r="I19" i="22"/>
  <c r="J19" i="22"/>
  <c r="I20" i="22"/>
  <c r="J20" i="22"/>
  <c r="I22" i="22"/>
  <c r="J22" i="22"/>
  <c r="I21" i="22"/>
  <c r="J21" i="22"/>
  <c r="I23" i="22"/>
  <c r="J23" i="22"/>
  <c r="I24" i="22"/>
  <c r="J24" i="22"/>
  <c r="I25" i="22"/>
  <c r="J25" i="22"/>
  <c r="I26" i="22"/>
  <c r="J26" i="22"/>
  <c r="J4" i="22" l="1"/>
  <c r="F4" i="33" l="1"/>
  <c r="F5" i="33"/>
  <c r="F6" i="33"/>
  <c r="F7" i="33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24" i="33"/>
  <c r="F25" i="33"/>
  <c r="F26" i="33"/>
  <c r="F27" i="33"/>
  <c r="F28" i="33"/>
  <c r="F29" i="33"/>
  <c r="F30" i="33"/>
  <c r="F31" i="33"/>
  <c r="F32" i="33"/>
  <c r="F34" i="33"/>
  <c r="F35" i="33"/>
  <c r="F36" i="33"/>
  <c r="F39" i="33"/>
  <c r="F42" i="33"/>
  <c r="F3" i="33"/>
  <c r="E4" i="33"/>
  <c r="E5" i="33"/>
  <c r="E6" i="33"/>
  <c r="E7" i="33"/>
  <c r="E8" i="33"/>
  <c r="E9" i="33"/>
  <c r="E10" i="33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4" i="33"/>
  <c r="E35" i="33"/>
  <c r="E36" i="33"/>
  <c r="E39" i="33"/>
  <c r="E41" i="33"/>
  <c r="E42" i="33"/>
  <c r="E43" i="33"/>
  <c r="I29" i="30" l="1"/>
  <c r="E3" i="17" l="1"/>
  <c r="I10" i="30"/>
  <c r="I7" i="30" l="1"/>
  <c r="I28" i="30"/>
  <c r="I45" i="30" l="1"/>
  <c r="I43" i="30" l="1"/>
  <c r="I39" i="30"/>
  <c r="I36" i="30"/>
  <c r="I34" i="30"/>
  <c r="I32" i="30"/>
  <c r="I30" i="30"/>
  <c r="I26" i="30"/>
  <c r="I24" i="30"/>
  <c r="I22" i="30"/>
  <c r="I20" i="30"/>
  <c r="I18" i="30"/>
  <c r="I16" i="30"/>
  <c r="I14" i="30"/>
  <c r="I11" i="30"/>
  <c r="I8" i="30"/>
  <c r="I5" i="30"/>
  <c r="I6" i="30"/>
  <c r="I9" i="30"/>
  <c r="I13" i="30"/>
  <c r="I15" i="30"/>
  <c r="I17" i="30"/>
  <c r="I19" i="30"/>
  <c r="I21" i="30"/>
  <c r="I23" i="30"/>
  <c r="I25" i="30"/>
  <c r="I27" i="30"/>
  <c r="I31" i="30"/>
  <c r="I33" i="30"/>
  <c r="I35" i="30"/>
  <c r="I37" i="30"/>
  <c r="I41" i="30"/>
  <c r="E3" i="20" l="1"/>
  <c r="J4" i="26" l="1"/>
  <c r="I4" i="26"/>
  <c r="I4" i="22" l="1"/>
  <c r="E3" i="33" l="1"/>
  <c r="I4" i="30"/>
  <c r="K17" i="39" l="1"/>
  <c r="I17" i="39"/>
  <c r="H17" i="39"/>
  <c r="G17" i="39"/>
  <c r="F17" i="39"/>
  <c r="E17" i="39"/>
  <c r="D17" i="39"/>
  <c r="E73" i="14"/>
  <c r="D73" i="14"/>
  <c r="C73" i="14"/>
  <c r="E72" i="14"/>
  <c r="D72" i="14"/>
  <c r="C72" i="14"/>
  <c r="E67" i="14"/>
  <c r="D67" i="14"/>
  <c r="C67" i="14"/>
  <c r="C66" i="14"/>
  <c r="D66" i="14"/>
  <c r="E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5" i="14"/>
  <c r="D45" i="14"/>
  <c r="C45" i="14"/>
  <c r="E43" i="14"/>
  <c r="D43" i="14"/>
  <c r="C43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3" i="14"/>
  <c r="D23" i="14"/>
  <c r="C23" i="14"/>
  <c r="E22" i="14"/>
  <c r="D22" i="14"/>
  <c r="C22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25" i="14" l="1"/>
  <c r="D25" i="14"/>
  <c r="C25" i="14"/>
  <c r="E77" i="43"/>
  <c r="K73" i="43"/>
  <c r="N73" i="43" s="1"/>
  <c r="E73" i="43"/>
  <c r="K72" i="43"/>
  <c r="N72" i="43" s="1"/>
  <c r="E72" i="43"/>
  <c r="K71" i="43"/>
  <c r="N71" i="43" s="1"/>
  <c r="E71" i="43"/>
  <c r="K70" i="43"/>
  <c r="N70" i="43" s="1"/>
  <c r="E70" i="43"/>
  <c r="K69" i="43"/>
  <c r="N69" i="43" s="1"/>
  <c r="E69" i="43"/>
  <c r="K68" i="43"/>
  <c r="N68" i="43" s="1"/>
  <c r="E68" i="43"/>
  <c r="K67" i="43"/>
  <c r="N67" i="43" s="1"/>
  <c r="E67" i="43"/>
  <c r="K66" i="43"/>
  <c r="N66" i="43" s="1"/>
  <c r="E66" i="43"/>
  <c r="K65" i="43"/>
  <c r="N65" i="43" s="1"/>
  <c r="E65" i="43"/>
  <c r="K64" i="43"/>
  <c r="N64" i="43" s="1"/>
  <c r="E64" i="43"/>
  <c r="K63" i="43"/>
  <c r="N63" i="43" s="1"/>
  <c r="E63" i="43"/>
  <c r="K62" i="43"/>
  <c r="N62" i="43" s="1"/>
  <c r="E62" i="43"/>
  <c r="K61" i="43"/>
  <c r="N61" i="43" s="1"/>
  <c r="E61" i="43"/>
  <c r="K60" i="43"/>
  <c r="N60" i="43" s="1"/>
  <c r="E60" i="43"/>
  <c r="K59" i="43"/>
  <c r="N59" i="43" s="1"/>
  <c r="E59" i="43"/>
  <c r="K58" i="43"/>
  <c r="N58" i="43" s="1"/>
  <c r="E58" i="43"/>
  <c r="K57" i="43"/>
  <c r="N57" i="43" s="1"/>
  <c r="E57" i="43"/>
  <c r="K56" i="43"/>
  <c r="N56" i="43" s="1"/>
  <c r="E56" i="43"/>
  <c r="K55" i="43"/>
  <c r="N55" i="43" s="1"/>
  <c r="E55" i="43"/>
  <c r="K54" i="43"/>
  <c r="N54" i="43" s="1"/>
  <c r="E54" i="43"/>
  <c r="K53" i="43"/>
  <c r="N53" i="43" s="1"/>
  <c r="E53" i="43"/>
  <c r="K52" i="43"/>
  <c r="N52" i="43" s="1"/>
  <c r="E52" i="43"/>
  <c r="K51" i="43"/>
  <c r="N51" i="43" s="1"/>
  <c r="E51" i="43"/>
  <c r="K50" i="43"/>
  <c r="N50" i="43" s="1"/>
  <c r="E50" i="43"/>
  <c r="K49" i="43"/>
  <c r="N49" i="43" s="1"/>
  <c r="E49" i="43"/>
  <c r="K48" i="43"/>
  <c r="N48" i="43" s="1"/>
  <c r="E48" i="43"/>
  <c r="K47" i="43"/>
  <c r="N47" i="43" s="1"/>
  <c r="E47" i="43"/>
  <c r="K46" i="43"/>
  <c r="N46" i="43" s="1"/>
  <c r="E46" i="43"/>
  <c r="K45" i="43"/>
  <c r="N45" i="43" s="1"/>
  <c r="K44" i="43"/>
  <c r="N44" i="43" s="1"/>
  <c r="E44" i="43"/>
  <c r="K43" i="43"/>
  <c r="N43" i="43" s="1"/>
  <c r="E43" i="43"/>
  <c r="K42" i="43"/>
  <c r="N42" i="43" s="1"/>
  <c r="E42" i="43"/>
  <c r="K41" i="43"/>
  <c r="N41" i="43" s="1"/>
  <c r="E41" i="43"/>
  <c r="K40" i="43"/>
  <c r="N40" i="43" s="1"/>
  <c r="E40" i="43"/>
  <c r="K39" i="43"/>
  <c r="N39" i="43" s="1"/>
  <c r="E39" i="43"/>
  <c r="K38" i="43"/>
  <c r="N38" i="43" s="1"/>
  <c r="E38" i="43"/>
  <c r="K37" i="43"/>
  <c r="N37" i="43" s="1"/>
  <c r="E37" i="43"/>
  <c r="K36" i="43"/>
  <c r="N36" i="43" s="1"/>
  <c r="E36" i="43"/>
  <c r="K35" i="43"/>
  <c r="N35" i="43" s="1"/>
  <c r="E35" i="43"/>
  <c r="K34" i="43"/>
  <c r="N34" i="43" s="1"/>
  <c r="E34" i="43"/>
  <c r="K33" i="43"/>
  <c r="N33" i="43" s="1"/>
  <c r="E33" i="43"/>
  <c r="K32" i="43"/>
  <c r="N32" i="43" s="1"/>
  <c r="E32" i="43"/>
  <c r="K31" i="43"/>
  <c r="N31" i="43" s="1"/>
  <c r="E31" i="43"/>
  <c r="K30" i="43"/>
  <c r="N30" i="43" s="1"/>
  <c r="E30" i="43"/>
  <c r="K29" i="43"/>
  <c r="N29" i="43" s="1"/>
  <c r="K28" i="43"/>
  <c r="M28" i="43" s="1"/>
  <c r="E28" i="43"/>
  <c r="K27" i="43"/>
  <c r="M27" i="43" s="1"/>
  <c r="E27" i="43"/>
  <c r="K26" i="43"/>
  <c r="M26" i="43" s="1"/>
  <c r="E26" i="43"/>
  <c r="K25" i="43"/>
  <c r="M25" i="43" s="1"/>
  <c r="E25" i="43"/>
  <c r="K24" i="43"/>
  <c r="M24" i="43" s="1"/>
  <c r="E24" i="43"/>
  <c r="K23" i="43"/>
  <c r="M23" i="43" s="1"/>
  <c r="E23" i="43"/>
  <c r="K22" i="43"/>
  <c r="M22" i="43" s="1"/>
  <c r="E22" i="43"/>
  <c r="K21" i="43"/>
  <c r="M21" i="43" s="1"/>
  <c r="E21" i="43"/>
  <c r="K20" i="43"/>
  <c r="M20" i="43" s="1"/>
  <c r="E20" i="43"/>
  <c r="K19" i="43"/>
  <c r="M19" i="43" s="1"/>
  <c r="E19" i="43"/>
  <c r="K18" i="43"/>
  <c r="M18" i="43" s="1"/>
  <c r="E18" i="43"/>
  <c r="K17" i="43"/>
  <c r="M17" i="43" s="1"/>
  <c r="E17" i="43"/>
  <c r="K16" i="43"/>
  <c r="M16" i="43" s="1"/>
  <c r="E16" i="43"/>
  <c r="K15" i="43"/>
  <c r="M15" i="43" s="1"/>
  <c r="K14" i="43"/>
  <c r="N14" i="43" s="1"/>
  <c r="E14" i="43"/>
  <c r="K13" i="43"/>
  <c r="N13" i="43" s="1"/>
  <c r="E13" i="43"/>
  <c r="K12" i="43"/>
  <c r="N12" i="43" s="1"/>
  <c r="E12" i="43"/>
  <c r="K11" i="43"/>
  <c r="N11" i="43" s="1"/>
  <c r="E11" i="43"/>
  <c r="K10" i="43"/>
  <c r="N10" i="43" s="1"/>
  <c r="E10" i="43"/>
  <c r="K9" i="43"/>
  <c r="N9" i="43" s="1"/>
  <c r="K8" i="43"/>
  <c r="N8" i="43" s="1"/>
  <c r="E8" i="43"/>
  <c r="K7" i="43"/>
  <c r="N7" i="43" s="1"/>
  <c r="E7" i="43"/>
  <c r="K6" i="43"/>
  <c r="N6" i="43" s="1"/>
  <c r="K5" i="43"/>
  <c r="N5" i="43" s="1"/>
  <c r="E5" i="43"/>
  <c r="K4" i="43"/>
  <c r="N4" i="43" s="1"/>
  <c r="E4" i="43"/>
  <c r="K3" i="43"/>
  <c r="N3" i="43" s="1"/>
  <c r="E3" i="43"/>
  <c r="E74" i="42"/>
  <c r="D74" i="42"/>
  <c r="C74" i="42"/>
  <c r="E73" i="42"/>
  <c r="D73" i="42"/>
  <c r="C73" i="42"/>
  <c r="E72" i="42"/>
  <c r="D72" i="42"/>
  <c r="C72" i="42"/>
  <c r="E71" i="42"/>
  <c r="D71" i="42"/>
  <c r="C71" i="42"/>
  <c r="E70" i="42"/>
  <c r="D70" i="42"/>
  <c r="C70" i="42"/>
  <c r="E69" i="42"/>
  <c r="D69" i="42"/>
  <c r="C69" i="42"/>
  <c r="E68" i="42"/>
  <c r="D68" i="42"/>
  <c r="C68" i="42"/>
  <c r="E67" i="42"/>
  <c r="D67" i="42"/>
  <c r="C67" i="42"/>
  <c r="E66" i="42"/>
  <c r="D66" i="42"/>
  <c r="C66" i="42"/>
  <c r="E65" i="42"/>
  <c r="D65" i="42"/>
  <c r="C65" i="42"/>
  <c r="E64" i="42"/>
  <c r="D64" i="42"/>
  <c r="C64" i="42"/>
  <c r="E63" i="42"/>
  <c r="D63" i="42"/>
  <c r="C63" i="42"/>
  <c r="E62" i="42"/>
  <c r="D62" i="42"/>
  <c r="C62" i="42"/>
  <c r="E61" i="42"/>
  <c r="D61" i="42"/>
  <c r="C61" i="42"/>
  <c r="E60" i="42"/>
  <c r="D60" i="42"/>
  <c r="C60" i="42"/>
  <c r="E59" i="42"/>
  <c r="D59" i="42"/>
  <c r="C59" i="42"/>
  <c r="E58" i="42"/>
  <c r="D58" i="42"/>
  <c r="C58" i="42"/>
  <c r="E57" i="42"/>
  <c r="D57" i="42"/>
  <c r="C57" i="42"/>
  <c r="E56" i="42"/>
  <c r="D56" i="42"/>
  <c r="C56" i="42"/>
  <c r="E55" i="42"/>
  <c r="D55" i="42"/>
  <c r="C55" i="42"/>
  <c r="E54" i="42"/>
  <c r="D54" i="42"/>
  <c r="C54" i="42"/>
  <c r="E53" i="42"/>
  <c r="D53" i="42"/>
  <c r="C53" i="42"/>
  <c r="E52" i="42"/>
  <c r="D52" i="42"/>
  <c r="C52" i="42"/>
  <c r="E51" i="42"/>
  <c r="D51" i="42"/>
  <c r="C51" i="42"/>
  <c r="E50" i="42"/>
  <c r="D50" i="42"/>
  <c r="C50" i="42"/>
  <c r="E49" i="42"/>
  <c r="D49" i="42"/>
  <c r="C49" i="42"/>
  <c r="E48" i="42"/>
  <c r="D48" i="42"/>
  <c r="C48" i="42"/>
  <c r="E47" i="42"/>
  <c r="D47" i="42"/>
  <c r="C47" i="42"/>
  <c r="E46" i="42"/>
  <c r="D46" i="42"/>
  <c r="C46" i="42"/>
  <c r="E45" i="42"/>
  <c r="D45" i="42"/>
  <c r="C45" i="42"/>
  <c r="E44" i="42"/>
  <c r="D44" i="42"/>
  <c r="C44" i="42"/>
  <c r="E43" i="42"/>
  <c r="D43" i="42"/>
  <c r="C43" i="42"/>
  <c r="E42" i="42"/>
  <c r="D42" i="42"/>
  <c r="C42" i="42"/>
  <c r="E41" i="42"/>
  <c r="D41" i="42"/>
  <c r="C41" i="42"/>
  <c r="E40" i="42"/>
  <c r="D40" i="42"/>
  <c r="C40" i="42"/>
  <c r="E39" i="42"/>
  <c r="D39" i="42"/>
  <c r="C39" i="42"/>
  <c r="E38" i="42"/>
  <c r="D38" i="42"/>
  <c r="C38" i="42"/>
  <c r="E37" i="42"/>
  <c r="D37" i="42"/>
  <c r="C37" i="42"/>
  <c r="E36" i="42"/>
  <c r="D36" i="42"/>
  <c r="C36" i="42"/>
  <c r="E35" i="42"/>
  <c r="D35" i="42"/>
  <c r="C35" i="42"/>
  <c r="E34" i="42"/>
  <c r="D34" i="42"/>
  <c r="C34" i="42"/>
  <c r="E33" i="42"/>
  <c r="D33" i="42"/>
  <c r="C33" i="42"/>
  <c r="E32" i="42"/>
  <c r="D32" i="42"/>
  <c r="C32" i="42"/>
  <c r="E31" i="42"/>
  <c r="D31" i="42"/>
  <c r="C31" i="42"/>
  <c r="E30" i="42"/>
  <c r="D30" i="42"/>
  <c r="C30" i="42"/>
  <c r="E29" i="42"/>
  <c r="D29" i="42"/>
  <c r="C29" i="42"/>
  <c r="E28" i="42"/>
  <c r="D28" i="42"/>
  <c r="C28" i="42"/>
  <c r="E27" i="42"/>
  <c r="D27" i="42"/>
  <c r="C27" i="42"/>
  <c r="E26" i="42"/>
  <c r="D26" i="42"/>
  <c r="C26" i="42"/>
  <c r="E25" i="42"/>
  <c r="D25" i="42"/>
  <c r="C25" i="42"/>
  <c r="E24" i="42"/>
  <c r="D24" i="42"/>
  <c r="C24" i="42"/>
  <c r="E23" i="42"/>
  <c r="D23" i="42"/>
  <c r="C23" i="42"/>
  <c r="E22" i="42"/>
  <c r="D22" i="42"/>
  <c r="C22" i="42"/>
  <c r="E21" i="42"/>
  <c r="D21" i="42"/>
  <c r="C21" i="42"/>
  <c r="E20" i="42"/>
  <c r="D20" i="42"/>
  <c r="C20" i="42"/>
  <c r="E19" i="42"/>
  <c r="D19" i="42"/>
  <c r="C19" i="42"/>
  <c r="E18" i="42"/>
  <c r="D18" i="42"/>
  <c r="C18" i="42"/>
  <c r="E17" i="42"/>
  <c r="D17" i="42"/>
  <c r="C17" i="42"/>
  <c r="E16" i="42"/>
  <c r="D16" i="42"/>
  <c r="C16" i="42"/>
  <c r="E15" i="42"/>
  <c r="D15" i="42"/>
  <c r="C15" i="42"/>
  <c r="E14" i="42"/>
  <c r="D14" i="42"/>
  <c r="C14" i="42"/>
  <c r="E13" i="42"/>
  <c r="D13" i="42"/>
  <c r="C13" i="42"/>
  <c r="E12" i="42"/>
  <c r="D12" i="42"/>
  <c r="C12" i="42"/>
  <c r="E11" i="42"/>
  <c r="D11" i="42"/>
  <c r="C11" i="42"/>
  <c r="E10" i="42"/>
  <c r="D10" i="42"/>
  <c r="C10" i="42"/>
  <c r="E9" i="42"/>
  <c r="D9" i="42"/>
  <c r="C9" i="42"/>
  <c r="E8" i="42"/>
  <c r="D8" i="42"/>
  <c r="C8" i="42"/>
  <c r="E7" i="42"/>
  <c r="D7" i="42"/>
  <c r="C7" i="42"/>
  <c r="E6" i="42"/>
  <c r="D6" i="42"/>
  <c r="C6" i="42"/>
  <c r="E5" i="42"/>
  <c r="D5" i="42"/>
  <c r="C5" i="42"/>
  <c r="E4" i="42"/>
  <c r="D4" i="42"/>
  <c r="C4" i="42"/>
  <c r="E3" i="42"/>
  <c r="D3" i="42"/>
  <c r="C3" i="42"/>
  <c r="E27" i="14"/>
  <c r="D27" i="14"/>
  <c r="C27" i="14"/>
  <c r="M12" i="43" l="1"/>
  <c r="N20" i="43"/>
  <c r="N28" i="43"/>
  <c r="M10" i="43"/>
  <c r="M14" i="43"/>
  <c r="N16" i="43"/>
  <c r="N24" i="43"/>
  <c r="M9" i="43"/>
  <c r="M11" i="43"/>
  <c r="M13" i="43"/>
  <c r="N18" i="43"/>
  <c r="N22" i="43"/>
  <c r="N26" i="43"/>
  <c r="N15" i="43"/>
  <c r="N17" i="43"/>
  <c r="N19" i="43"/>
  <c r="N21" i="43"/>
  <c r="N23" i="43"/>
  <c r="N25" i="43"/>
  <c r="N27" i="43"/>
  <c r="C75" i="42"/>
  <c r="D75" i="42"/>
  <c r="E75" i="42"/>
  <c r="M45" i="43"/>
  <c r="M46" i="43"/>
  <c r="M47" i="43"/>
  <c r="M48" i="43"/>
  <c r="M49" i="43"/>
  <c r="M50" i="43"/>
  <c r="M51" i="43"/>
  <c r="M52" i="43"/>
  <c r="M53" i="43"/>
  <c r="M54" i="43"/>
  <c r="M55" i="43"/>
  <c r="M56" i="43"/>
  <c r="M57" i="43"/>
  <c r="M58" i="43"/>
  <c r="M59" i="43"/>
  <c r="M60" i="43"/>
  <c r="M61" i="43"/>
  <c r="M62" i="43"/>
  <c r="M63" i="43"/>
  <c r="M64" i="43"/>
  <c r="M65" i="43"/>
  <c r="M66" i="43"/>
  <c r="M67" i="43"/>
  <c r="M68" i="43"/>
  <c r="M69" i="43"/>
  <c r="M70" i="43"/>
  <c r="M71" i="43"/>
  <c r="M72" i="43"/>
  <c r="M73" i="43"/>
  <c r="M7" i="43"/>
  <c r="M8" i="43"/>
  <c r="M29" i="43"/>
  <c r="M30" i="43"/>
  <c r="M31" i="43"/>
  <c r="M32" i="43"/>
  <c r="M33" i="43"/>
  <c r="M34" i="43"/>
  <c r="M35" i="43"/>
  <c r="M36" i="43"/>
  <c r="M37" i="43"/>
  <c r="M38" i="43"/>
  <c r="M39" i="43"/>
  <c r="M40" i="43"/>
  <c r="M41" i="43"/>
  <c r="M42" i="43"/>
  <c r="M43" i="43"/>
  <c r="M44" i="43"/>
  <c r="M6" i="43"/>
  <c r="M3" i="43"/>
  <c r="M4" i="43"/>
  <c r="M5" i="43"/>
  <c r="F76" i="42" l="1"/>
  <c r="E78" i="42"/>
  <c r="D78" i="42"/>
  <c r="C56" i="32"/>
  <c r="D56" i="32"/>
  <c r="E56" i="32"/>
  <c r="E55" i="32"/>
  <c r="D55" i="32"/>
  <c r="C55" i="32"/>
  <c r="N56" i="21"/>
  <c r="M56" i="21"/>
  <c r="L56" i="21"/>
  <c r="I56" i="21"/>
  <c r="H56" i="21"/>
  <c r="E56" i="21"/>
  <c r="D56" i="21"/>
  <c r="C56" i="21"/>
  <c r="E25" i="28"/>
  <c r="D25" i="28"/>
  <c r="C25" i="28"/>
  <c r="E24" i="28"/>
  <c r="D24" i="28"/>
  <c r="C24" i="28"/>
  <c r="E23" i="28"/>
  <c r="D23" i="28"/>
  <c r="C23" i="28"/>
  <c r="E22" i="28"/>
  <c r="D22" i="28"/>
  <c r="C22" i="28"/>
  <c r="E21" i="28"/>
  <c r="D21" i="28"/>
  <c r="C21" i="28"/>
  <c r="E20" i="28"/>
  <c r="D20" i="28"/>
  <c r="C20" i="28"/>
  <c r="E19" i="28"/>
  <c r="D19" i="28"/>
  <c r="C19" i="28"/>
  <c r="E17" i="28"/>
  <c r="D17" i="28"/>
  <c r="C17" i="28"/>
  <c r="E16" i="28"/>
  <c r="D16" i="28"/>
  <c r="C16" i="28"/>
  <c r="E15" i="28"/>
  <c r="D15" i="28"/>
  <c r="C15" i="28"/>
  <c r="E14" i="28"/>
  <c r="D14" i="28"/>
  <c r="C14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E4" i="28"/>
  <c r="D4" i="28"/>
  <c r="C4" i="28"/>
  <c r="E3" i="28"/>
  <c r="D3" i="28"/>
  <c r="C3" i="28"/>
  <c r="J10" i="25"/>
  <c r="I10" i="25"/>
  <c r="G10" i="25"/>
  <c r="F10" i="25"/>
  <c r="D10" i="25"/>
  <c r="C10" i="25"/>
  <c r="C24" i="25"/>
  <c r="D24" i="25"/>
  <c r="F24" i="25"/>
  <c r="G24" i="25"/>
  <c r="I24" i="25"/>
  <c r="L24" i="25" s="1"/>
  <c r="J24" i="25"/>
  <c r="M24" i="25" s="1"/>
  <c r="C25" i="23"/>
  <c r="D25" i="23"/>
  <c r="E25" i="23"/>
  <c r="L28" i="41"/>
  <c r="K28" i="41"/>
  <c r="H28" i="41"/>
  <c r="G28" i="41"/>
  <c r="D28" i="41"/>
  <c r="P28" i="41" s="1"/>
  <c r="C28" i="41"/>
  <c r="O28" i="41" s="1"/>
  <c r="P74" i="18"/>
  <c r="I74" i="18"/>
  <c r="C74" i="18"/>
  <c r="P73" i="18"/>
  <c r="P18" i="18"/>
  <c r="I18" i="18"/>
  <c r="C18" i="18"/>
  <c r="E74" i="14"/>
  <c r="D74" i="14"/>
  <c r="C74" i="14"/>
  <c r="C54" i="32"/>
  <c r="D54" i="32"/>
  <c r="E54" i="32"/>
  <c r="E41" i="32"/>
  <c r="D41" i="32"/>
  <c r="C41" i="32"/>
  <c r="P37" i="21"/>
  <c r="N37" i="21"/>
  <c r="M37" i="21"/>
  <c r="L37" i="21"/>
  <c r="I37" i="21"/>
  <c r="G37" i="21"/>
  <c r="E37" i="21"/>
  <c r="D37" i="21"/>
  <c r="C37" i="21"/>
  <c r="C55" i="21"/>
  <c r="D55" i="21"/>
  <c r="E55" i="21"/>
  <c r="G55" i="21"/>
  <c r="H55" i="21"/>
  <c r="I55" i="21"/>
  <c r="L55" i="21"/>
  <c r="M55" i="21"/>
  <c r="N55" i="21"/>
  <c r="P55" i="21"/>
  <c r="C73" i="18"/>
  <c r="I73" i="18"/>
  <c r="P68" i="18"/>
  <c r="I68" i="18"/>
  <c r="C68" i="18"/>
  <c r="F25" i="28" l="1"/>
  <c r="Q56" i="21"/>
  <c r="Q55" i="21"/>
  <c r="F74" i="18"/>
  <c r="I28" i="41"/>
  <c r="F56" i="32"/>
  <c r="E28" i="41"/>
  <c r="M28" i="41"/>
  <c r="F54" i="32"/>
  <c r="F73" i="18"/>
  <c r="F55" i="32" l="1"/>
  <c r="M77" i="21"/>
  <c r="I27" i="21"/>
  <c r="H9" i="21"/>
  <c r="I9" i="21"/>
  <c r="I47" i="21"/>
  <c r="I48" i="21"/>
  <c r="I49" i="21"/>
  <c r="I50" i="21"/>
  <c r="I51" i="21"/>
  <c r="I52" i="21"/>
  <c r="I53" i="21"/>
  <c r="I46" i="21"/>
  <c r="I44" i="21"/>
  <c r="I38" i="21"/>
  <c r="I42" i="21"/>
  <c r="H45" i="21"/>
  <c r="H47" i="21"/>
  <c r="H48" i="21"/>
  <c r="H49" i="21"/>
  <c r="H50" i="21"/>
  <c r="H51" i="21"/>
  <c r="H52" i="21"/>
  <c r="H53" i="21"/>
  <c r="H46" i="21"/>
  <c r="H44" i="21"/>
  <c r="H42" i="21"/>
  <c r="H38" i="21"/>
  <c r="I4" i="21"/>
  <c r="I5" i="21"/>
  <c r="I6" i="21"/>
  <c r="I7" i="21"/>
  <c r="I8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8" i="21"/>
  <c r="I29" i="21"/>
  <c r="I30" i="21"/>
  <c r="I31" i="21"/>
  <c r="I32" i="21"/>
  <c r="I33" i="21"/>
  <c r="I34" i="21"/>
  <c r="I35" i="21"/>
  <c r="I36" i="21"/>
  <c r="I39" i="21"/>
  <c r="I40" i="21"/>
  <c r="I41" i="21"/>
  <c r="I43" i="21"/>
  <c r="I45" i="21"/>
  <c r="I54" i="21"/>
  <c r="I3" i="21"/>
  <c r="M27" i="21"/>
  <c r="M47" i="21"/>
  <c r="M48" i="21"/>
  <c r="M49" i="21"/>
  <c r="M50" i="21"/>
  <c r="M51" i="21"/>
  <c r="M52" i="21"/>
  <c r="M53" i="21"/>
  <c r="M46" i="21"/>
  <c r="M44" i="21"/>
  <c r="M42" i="21"/>
  <c r="M38" i="21"/>
  <c r="M9" i="21"/>
  <c r="M4" i="21"/>
  <c r="M5" i="21"/>
  <c r="M6" i="21"/>
  <c r="M7" i="21"/>
  <c r="M8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28" i="21"/>
  <c r="M29" i="21"/>
  <c r="M30" i="21"/>
  <c r="M31" i="21"/>
  <c r="M32" i="21"/>
  <c r="M33" i="21"/>
  <c r="M34" i="21"/>
  <c r="M35" i="21"/>
  <c r="M36" i="21"/>
  <c r="M39" i="21"/>
  <c r="M40" i="21"/>
  <c r="M41" i="21"/>
  <c r="M43" i="21"/>
  <c r="M45" i="21"/>
  <c r="M54" i="21"/>
  <c r="M3" i="21"/>
  <c r="D45" i="21"/>
  <c r="D9" i="21"/>
  <c r="D47" i="21"/>
  <c r="D48" i="21"/>
  <c r="D49" i="21"/>
  <c r="D50" i="21"/>
  <c r="D51" i="21"/>
  <c r="D52" i="21"/>
  <c r="D53" i="21"/>
  <c r="D46" i="21"/>
  <c r="D44" i="21"/>
  <c r="D42" i="21"/>
  <c r="D43" i="21"/>
  <c r="D27" i="21"/>
  <c r="D54" i="21"/>
  <c r="D4" i="21"/>
  <c r="D5" i="21"/>
  <c r="D6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8" i="21"/>
  <c r="D29" i="21"/>
  <c r="D30" i="21"/>
  <c r="D31" i="21"/>
  <c r="D32" i="21"/>
  <c r="D33" i="21"/>
  <c r="D34" i="21"/>
  <c r="D35" i="21"/>
  <c r="D36" i="21"/>
  <c r="D39" i="21"/>
  <c r="D40" i="21"/>
  <c r="D41" i="21"/>
  <c r="D3" i="21"/>
  <c r="H54" i="21"/>
  <c r="H41" i="21"/>
  <c r="H40" i="21"/>
  <c r="H39" i="21"/>
  <c r="H43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4" i="21"/>
  <c r="H5" i="21"/>
  <c r="H6" i="21"/>
  <c r="H7" i="21"/>
  <c r="H8" i="21"/>
  <c r="H10" i="21"/>
  <c r="H11" i="21"/>
  <c r="H3" i="21"/>
  <c r="H5" i="41"/>
  <c r="H6" i="41"/>
  <c r="H7" i="41"/>
  <c r="H8" i="41"/>
  <c r="H9" i="41"/>
  <c r="H10" i="41"/>
  <c r="H11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H25" i="41"/>
  <c r="H26" i="41"/>
  <c r="H27" i="41"/>
  <c r="H4" i="41"/>
  <c r="L20" i="41"/>
  <c r="L21" i="41"/>
  <c r="L22" i="41"/>
  <c r="L23" i="41"/>
  <c r="L24" i="41"/>
  <c r="L25" i="41"/>
  <c r="L26" i="41"/>
  <c r="L27" i="41"/>
  <c r="L9" i="41"/>
  <c r="L10" i="41"/>
  <c r="L11" i="41"/>
  <c r="L12" i="41"/>
  <c r="L13" i="41"/>
  <c r="L14" i="41"/>
  <c r="L15" i="41"/>
  <c r="L16" i="41"/>
  <c r="L17" i="41"/>
  <c r="L18" i="41"/>
  <c r="L19" i="41"/>
  <c r="L5" i="41"/>
  <c r="L6" i="41"/>
  <c r="L7" i="41"/>
  <c r="L8" i="41"/>
  <c r="L4" i="41"/>
  <c r="K21" i="41"/>
  <c r="K22" i="41"/>
  <c r="K23" i="41"/>
  <c r="K24" i="41"/>
  <c r="K25" i="41"/>
  <c r="K26" i="41"/>
  <c r="K27" i="41"/>
  <c r="K20" i="41"/>
  <c r="K16" i="41"/>
  <c r="K17" i="41"/>
  <c r="K18" i="41"/>
  <c r="K19" i="41"/>
  <c r="K8" i="41"/>
  <c r="K9" i="41"/>
  <c r="K10" i="41"/>
  <c r="K11" i="41"/>
  <c r="K12" i="41"/>
  <c r="K13" i="41"/>
  <c r="K14" i="41"/>
  <c r="K15" i="41"/>
  <c r="K7" i="41"/>
  <c r="K5" i="41"/>
  <c r="K6" i="41"/>
  <c r="K4" i="41"/>
  <c r="C4" i="41"/>
  <c r="D22" i="41"/>
  <c r="D23" i="41"/>
  <c r="D24" i="41"/>
  <c r="D25" i="41"/>
  <c r="D26" i="41"/>
  <c r="D27" i="41"/>
  <c r="D20" i="41"/>
  <c r="D21" i="41"/>
  <c r="D15" i="41"/>
  <c r="D16" i="41"/>
  <c r="D17" i="41"/>
  <c r="D18" i="41"/>
  <c r="D19" i="41"/>
  <c r="D8" i="41"/>
  <c r="D9" i="41"/>
  <c r="D10" i="41"/>
  <c r="D11" i="41"/>
  <c r="D12" i="41"/>
  <c r="D13" i="41"/>
  <c r="D14" i="41"/>
  <c r="D6" i="41"/>
  <c r="D7" i="41"/>
  <c r="D5" i="41"/>
  <c r="D4" i="41"/>
  <c r="C21" i="41"/>
  <c r="C22" i="41"/>
  <c r="C23" i="41"/>
  <c r="C24" i="41"/>
  <c r="C25" i="41"/>
  <c r="C26" i="41"/>
  <c r="C27" i="41"/>
  <c r="C20" i="41"/>
  <c r="C19" i="41"/>
  <c r="C18" i="41"/>
  <c r="C16" i="41"/>
  <c r="C17" i="41"/>
  <c r="C13" i="41"/>
  <c r="C14" i="41"/>
  <c r="C15" i="41"/>
  <c r="C10" i="41"/>
  <c r="C11" i="41"/>
  <c r="C12" i="41"/>
  <c r="C8" i="41"/>
  <c r="C9" i="41"/>
  <c r="C7" i="41"/>
  <c r="C6" i="41"/>
  <c r="C5" i="41"/>
  <c r="G20" i="41"/>
  <c r="V20" i="41" s="1"/>
  <c r="G6" i="41"/>
  <c r="G7" i="41"/>
  <c r="G15" i="41"/>
  <c r="V15" i="41" s="1"/>
  <c r="G16" i="41"/>
  <c r="V16" i="41" s="1"/>
  <c r="G17" i="41"/>
  <c r="V17" i="41" s="1"/>
  <c r="G18" i="41"/>
  <c r="V18" i="41" s="1"/>
  <c r="G19" i="41"/>
  <c r="V19" i="41" s="1"/>
  <c r="G21" i="41"/>
  <c r="G22" i="41"/>
  <c r="G23" i="41"/>
  <c r="G24" i="41"/>
  <c r="G25" i="41"/>
  <c r="G26" i="41"/>
  <c r="G27" i="41"/>
  <c r="G8" i="41"/>
  <c r="G9" i="41"/>
  <c r="G10" i="41"/>
  <c r="G11" i="41"/>
  <c r="G12" i="41"/>
  <c r="G13" i="41"/>
  <c r="G14" i="41"/>
  <c r="G5" i="41"/>
  <c r="G4" i="41"/>
  <c r="G19" i="25"/>
  <c r="F19" i="25"/>
  <c r="F4" i="25"/>
  <c r="G4" i="25"/>
  <c r="F5" i="25"/>
  <c r="G5" i="25"/>
  <c r="F6" i="25"/>
  <c r="G6" i="25"/>
  <c r="F7" i="25"/>
  <c r="G7" i="25"/>
  <c r="F8" i="25"/>
  <c r="G8" i="25"/>
  <c r="F9" i="25"/>
  <c r="G9" i="25"/>
  <c r="F11" i="25"/>
  <c r="G11" i="25"/>
  <c r="F12" i="25"/>
  <c r="G12" i="25"/>
  <c r="F13" i="25"/>
  <c r="G13" i="25"/>
  <c r="F14" i="25"/>
  <c r="G14" i="25"/>
  <c r="F15" i="25"/>
  <c r="G15" i="25"/>
  <c r="F16" i="25"/>
  <c r="G16" i="25"/>
  <c r="F17" i="25"/>
  <c r="G17" i="25"/>
  <c r="F18" i="25"/>
  <c r="G18" i="25"/>
  <c r="F20" i="25"/>
  <c r="G20" i="25"/>
  <c r="F21" i="25"/>
  <c r="G21" i="25"/>
  <c r="F22" i="25"/>
  <c r="G22" i="25"/>
  <c r="F23" i="25"/>
  <c r="G23" i="25"/>
  <c r="G3" i="25"/>
  <c r="F3" i="25"/>
  <c r="J19" i="25"/>
  <c r="I19" i="25"/>
  <c r="D19" i="25"/>
  <c r="C19" i="25"/>
  <c r="U7" i="41" l="1"/>
  <c r="U13" i="41"/>
  <c r="U25" i="41"/>
  <c r="U21" i="41"/>
  <c r="G29" i="41"/>
  <c r="F25" i="25"/>
  <c r="H29" i="41"/>
  <c r="G25" i="25"/>
  <c r="V5" i="41"/>
  <c r="C29" i="41"/>
  <c r="D29" i="41"/>
  <c r="K29" i="41"/>
  <c r="C62" i="21" s="1"/>
  <c r="L29" i="41"/>
  <c r="I14" i="41"/>
  <c r="V14" i="41"/>
  <c r="I10" i="41"/>
  <c r="V10" i="41"/>
  <c r="I6" i="41"/>
  <c r="V6" i="41"/>
  <c r="E11" i="41"/>
  <c r="U11" i="41"/>
  <c r="I13" i="41"/>
  <c r="V13" i="41"/>
  <c r="I9" i="41"/>
  <c r="V9" i="41"/>
  <c r="I25" i="41"/>
  <c r="V25" i="41"/>
  <c r="I21" i="41"/>
  <c r="V21" i="41"/>
  <c r="U9" i="41"/>
  <c r="E10" i="41"/>
  <c r="U10" i="41"/>
  <c r="U17" i="41"/>
  <c r="U20" i="41"/>
  <c r="U24" i="41"/>
  <c r="U4" i="41"/>
  <c r="E19" i="41"/>
  <c r="U19" i="41"/>
  <c r="I4" i="41"/>
  <c r="V4" i="41"/>
  <c r="I12" i="41"/>
  <c r="V12" i="41"/>
  <c r="I8" i="41"/>
  <c r="V8" i="41"/>
  <c r="I24" i="41"/>
  <c r="V24" i="41"/>
  <c r="E5" i="41"/>
  <c r="U5" i="41"/>
  <c r="U8" i="41"/>
  <c r="U15" i="41"/>
  <c r="U16" i="41"/>
  <c r="U27" i="41"/>
  <c r="U23" i="41"/>
  <c r="I26" i="41"/>
  <c r="V26" i="41"/>
  <c r="I22" i="41"/>
  <c r="V22" i="41"/>
  <c r="I11" i="41"/>
  <c r="V11" i="41"/>
  <c r="I27" i="41"/>
  <c r="V27" i="41"/>
  <c r="I23" i="41"/>
  <c r="V23" i="41"/>
  <c r="I7" i="41"/>
  <c r="V7" i="41"/>
  <c r="U6" i="41"/>
  <c r="E12" i="41"/>
  <c r="U12" i="41"/>
  <c r="U14" i="41"/>
  <c r="U18" i="41"/>
  <c r="U26" i="41"/>
  <c r="U22" i="41"/>
  <c r="I19" i="41"/>
  <c r="I15" i="41"/>
  <c r="E7" i="41"/>
  <c r="E13" i="41"/>
  <c r="P11" i="41"/>
  <c r="M5" i="41"/>
  <c r="M26" i="41"/>
  <c r="M22" i="41"/>
  <c r="M20" i="41"/>
  <c r="I5" i="41"/>
  <c r="E14" i="41"/>
  <c r="E18" i="41"/>
  <c r="M6" i="41"/>
  <c r="I17" i="41"/>
  <c r="E25" i="41"/>
  <c r="E21" i="41"/>
  <c r="M13" i="41"/>
  <c r="M9" i="41"/>
  <c r="M17" i="41"/>
  <c r="M27" i="41"/>
  <c r="M23" i="41"/>
  <c r="I16" i="41"/>
  <c r="I20" i="41"/>
  <c r="E9" i="41"/>
  <c r="E17" i="41"/>
  <c r="E20" i="41"/>
  <c r="E24" i="41"/>
  <c r="M12" i="41"/>
  <c r="M16" i="41"/>
  <c r="M15" i="41"/>
  <c r="M11" i="41"/>
  <c r="M8" i="41"/>
  <c r="M7" i="41"/>
  <c r="M25" i="41"/>
  <c r="M21" i="41"/>
  <c r="E8" i="41"/>
  <c r="E15" i="41"/>
  <c r="E16" i="41"/>
  <c r="E27" i="41"/>
  <c r="E23" i="41"/>
  <c r="M19" i="41"/>
  <c r="M24" i="41"/>
  <c r="I18" i="41"/>
  <c r="E6" i="41"/>
  <c r="E26" i="41"/>
  <c r="E22" i="41"/>
  <c r="M14" i="41"/>
  <c r="M10" i="41"/>
  <c r="M18" i="41"/>
  <c r="E4" i="41"/>
  <c r="M4" i="41"/>
  <c r="H57" i="21"/>
  <c r="H61" i="21" s="1"/>
  <c r="I57" i="21"/>
  <c r="I61" i="21" s="1"/>
  <c r="M57" i="21"/>
  <c r="D57" i="21"/>
  <c r="D61" i="21" s="1"/>
  <c r="O11" i="41"/>
  <c r="E13" i="40"/>
  <c r="C25" i="39"/>
  <c r="D25" i="39" s="1"/>
  <c r="D24" i="39"/>
  <c r="E24" i="39"/>
  <c r="F24" i="39"/>
  <c r="G24" i="39"/>
  <c r="H24" i="39"/>
  <c r="I24" i="39"/>
  <c r="J24" i="39"/>
  <c r="K24" i="39"/>
  <c r="L24" i="39"/>
  <c r="M24" i="39"/>
  <c r="H23" i="39"/>
  <c r="I23" i="39"/>
  <c r="J23" i="39"/>
  <c r="K23" i="39"/>
  <c r="L23" i="39"/>
  <c r="M23" i="39"/>
  <c r="E23" i="39"/>
  <c r="F23" i="39"/>
  <c r="G23" i="39"/>
  <c r="D23" i="39"/>
  <c r="S20" i="39"/>
  <c r="S19" i="39"/>
  <c r="E26" i="32"/>
  <c r="D26" i="32"/>
  <c r="C26" i="32"/>
  <c r="P27" i="21"/>
  <c r="N27" i="21"/>
  <c r="L27" i="21"/>
  <c r="G27" i="21"/>
  <c r="E27" i="21"/>
  <c r="C27" i="21"/>
  <c r="E18" i="28"/>
  <c r="E26" i="28" s="1"/>
  <c r="D18" i="28"/>
  <c r="D26" i="28" s="1"/>
  <c r="C18" i="28"/>
  <c r="C26" i="28" s="1"/>
  <c r="E9" i="23"/>
  <c r="D9" i="23"/>
  <c r="C9" i="23"/>
  <c r="K25" i="39" l="1"/>
  <c r="G25" i="39"/>
  <c r="J25" i="39"/>
  <c r="F25" i="39"/>
  <c r="P29" i="41"/>
  <c r="O29" i="41"/>
  <c r="C31" i="41"/>
  <c r="C37" i="41"/>
  <c r="G31" i="41"/>
  <c r="H33" i="41"/>
  <c r="H31" i="41"/>
  <c r="D33" i="41"/>
  <c r="D31" i="41"/>
  <c r="I63" i="21"/>
  <c r="H63" i="21"/>
  <c r="H25" i="25"/>
  <c r="D62" i="21"/>
  <c r="F69" i="21" s="1"/>
  <c r="M29" i="41"/>
  <c r="K57" i="21"/>
  <c r="L62" i="21"/>
  <c r="M62" i="21"/>
  <c r="I29" i="41"/>
  <c r="H62" i="21"/>
  <c r="I62" i="21"/>
  <c r="K68" i="21"/>
  <c r="M61" i="21"/>
  <c r="E29" i="41"/>
  <c r="J9" i="23"/>
  <c r="M9" i="23" s="1"/>
  <c r="M25" i="39"/>
  <c r="I25" i="39"/>
  <c r="E25" i="39"/>
  <c r="C26" i="39"/>
  <c r="L25" i="39"/>
  <c r="H25" i="39"/>
  <c r="I64" i="21" l="1"/>
  <c r="K70" i="21"/>
  <c r="H64" i="21"/>
  <c r="O69" i="21"/>
  <c r="K69" i="21"/>
  <c r="C27" i="39"/>
  <c r="F26" i="39"/>
  <c r="J26" i="39"/>
  <c r="L26" i="39"/>
  <c r="M26" i="39"/>
  <c r="G26" i="39"/>
  <c r="K26" i="39"/>
  <c r="D26" i="39"/>
  <c r="H26" i="39"/>
  <c r="E26" i="39"/>
  <c r="I26" i="39"/>
  <c r="K71" i="21" l="1"/>
  <c r="Q69" i="21"/>
  <c r="D27" i="39"/>
  <c r="H27" i="39"/>
  <c r="L27" i="39"/>
  <c r="K27" i="39"/>
  <c r="E27" i="39"/>
  <c r="I27" i="39"/>
  <c r="M27" i="39"/>
  <c r="F27" i="39"/>
  <c r="J27" i="39"/>
  <c r="G27" i="39"/>
  <c r="C28" i="39"/>
  <c r="C29" i="39" l="1"/>
  <c r="F28" i="39"/>
  <c r="J28" i="39"/>
  <c r="D28" i="39"/>
  <c r="I28" i="39"/>
  <c r="G28" i="39"/>
  <c r="K28" i="39"/>
  <c r="H28" i="39"/>
  <c r="L28" i="39"/>
  <c r="E28" i="39"/>
  <c r="M28" i="39"/>
  <c r="D29" i="39" l="1"/>
  <c r="H29" i="39"/>
  <c r="L29" i="39"/>
  <c r="F29" i="39"/>
  <c r="G29" i="39"/>
  <c r="K29" i="39"/>
  <c r="E29" i="39"/>
  <c r="I29" i="39"/>
  <c r="M29" i="39"/>
  <c r="J29" i="39"/>
  <c r="C30" i="39"/>
  <c r="F30" i="39" l="1"/>
  <c r="J30" i="39"/>
  <c r="D30" i="39"/>
  <c r="L30" i="39"/>
  <c r="I30" i="39"/>
  <c r="G30" i="39"/>
  <c r="K30" i="39"/>
  <c r="H30" i="39"/>
  <c r="E30" i="39"/>
  <c r="M30" i="39"/>
  <c r="C31" i="39"/>
  <c r="D31" i="39" l="1"/>
  <c r="H31" i="39"/>
  <c r="L31" i="39"/>
  <c r="J31" i="39"/>
  <c r="G31" i="39"/>
  <c r="E31" i="39"/>
  <c r="I31" i="39"/>
  <c r="M31" i="39"/>
  <c r="F31" i="39"/>
  <c r="K31" i="39"/>
  <c r="C32" i="39"/>
  <c r="F32" i="39" l="1"/>
  <c r="J32" i="39"/>
  <c r="H32" i="39"/>
  <c r="E32" i="39"/>
  <c r="M32" i="39"/>
  <c r="G32" i="39"/>
  <c r="K32" i="39"/>
  <c r="D32" i="39"/>
  <c r="L32" i="39"/>
  <c r="I32" i="39"/>
  <c r="K9" i="39" l="1"/>
  <c r="F4" i="40" s="1"/>
  <c r="K10" i="39"/>
  <c r="F5" i="40" s="1"/>
  <c r="K11" i="39"/>
  <c r="F6" i="40" s="1"/>
  <c r="K12" i="39"/>
  <c r="F7" i="40" s="1"/>
  <c r="K13" i="39"/>
  <c r="F8" i="40" s="1"/>
  <c r="K14" i="39"/>
  <c r="K15" i="39"/>
  <c r="F10" i="40" s="1"/>
  <c r="K16" i="39"/>
  <c r="F11" i="40" s="1"/>
  <c r="F12" i="40"/>
  <c r="K8" i="39"/>
  <c r="F3" i="40" s="1"/>
  <c r="F14" i="40" l="1"/>
  <c r="I8" i="39"/>
  <c r="C3" i="40" s="1"/>
  <c r="F8" i="39" l="1"/>
  <c r="G8" i="39"/>
  <c r="F9" i="39"/>
  <c r="G9" i="39"/>
  <c r="F10" i="39"/>
  <c r="G10" i="39"/>
  <c r="F11" i="39"/>
  <c r="G11" i="39"/>
  <c r="F12" i="39"/>
  <c r="G12" i="39"/>
  <c r="F13" i="39"/>
  <c r="G13" i="39"/>
  <c r="F14" i="39"/>
  <c r="G14" i="39"/>
  <c r="F15" i="39"/>
  <c r="G15" i="39"/>
  <c r="F16" i="39"/>
  <c r="G16" i="39"/>
  <c r="H8" i="39"/>
  <c r="H9" i="39"/>
  <c r="H10" i="39"/>
  <c r="H11" i="39"/>
  <c r="H12" i="39"/>
  <c r="H13" i="39"/>
  <c r="H14" i="39"/>
  <c r="H15" i="39"/>
  <c r="H16" i="39"/>
  <c r="I9" i="39"/>
  <c r="C4" i="40" s="1"/>
  <c r="I10" i="39"/>
  <c r="C5" i="40" s="1"/>
  <c r="I11" i="39"/>
  <c r="C6" i="40" s="1"/>
  <c r="I12" i="39"/>
  <c r="C7" i="40" s="1"/>
  <c r="I13" i="39"/>
  <c r="C8" i="40" s="1"/>
  <c r="I14" i="39"/>
  <c r="C9" i="40" s="1"/>
  <c r="I15" i="39"/>
  <c r="C10" i="40" s="1"/>
  <c r="I16" i="39"/>
  <c r="C11" i="40" s="1"/>
  <c r="C12" i="40"/>
  <c r="E8" i="39"/>
  <c r="E9" i="39"/>
  <c r="E10" i="39"/>
  <c r="E11" i="39"/>
  <c r="E12" i="39"/>
  <c r="E13" i="39"/>
  <c r="E14" i="39"/>
  <c r="E15" i="39"/>
  <c r="E16" i="39"/>
  <c r="D8" i="39"/>
  <c r="D9" i="39"/>
  <c r="D10" i="39"/>
  <c r="D11" i="39"/>
  <c r="D12" i="39"/>
  <c r="D13" i="39"/>
  <c r="D14" i="39"/>
  <c r="D15" i="39"/>
  <c r="D16" i="39"/>
  <c r="C14" i="40" l="1"/>
  <c r="J10" i="39"/>
  <c r="D5" i="40" s="1"/>
  <c r="E5" i="40" s="1"/>
  <c r="J8" i="39"/>
  <c r="D3" i="40" s="1"/>
  <c r="J14" i="39"/>
  <c r="D9" i="40" s="1"/>
  <c r="E9" i="40" s="1"/>
  <c r="J17" i="39"/>
  <c r="D12" i="40" s="1"/>
  <c r="E12" i="40" s="1"/>
  <c r="J13" i="39"/>
  <c r="D8" i="40" s="1"/>
  <c r="E8" i="40" s="1"/>
  <c r="J9" i="39"/>
  <c r="D4" i="40" s="1"/>
  <c r="E4" i="40" s="1"/>
  <c r="J16" i="39"/>
  <c r="D11" i="40" s="1"/>
  <c r="E11" i="40" s="1"/>
  <c r="J12" i="39"/>
  <c r="D7" i="40" s="1"/>
  <c r="E7" i="40" s="1"/>
  <c r="J15" i="39"/>
  <c r="D10" i="40" s="1"/>
  <c r="E10" i="40" s="1"/>
  <c r="J11" i="39"/>
  <c r="D6" i="40" s="1"/>
  <c r="E6" i="40" s="1"/>
  <c r="P72" i="18"/>
  <c r="I72" i="18"/>
  <c r="C72" i="18"/>
  <c r="P50" i="18"/>
  <c r="I50" i="18"/>
  <c r="C50" i="18"/>
  <c r="P12" i="18"/>
  <c r="I12" i="18"/>
  <c r="C12" i="18"/>
  <c r="F72" i="18" l="1"/>
  <c r="F50" i="18"/>
  <c r="F12" i="18"/>
  <c r="E3" i="40"/>
  <c r="E14" i="40" s="1"/>
  <c r="D14" i="40"/>
  <c r="P54" i="21" l="1"/>
  <c r="N54" i="21"/>
  <c r="L54" i="21"/>
  <c r="G54" i="21"/>
  <c r="E54" i="21"/>
  <c r="C54" i="21"/>
  <c r="E53" i="32"/>
  <c r="D53" i="32"/>
  <c r="C53" i="32"/>
  <c r="C24" i="23"/>
  <c r="D24" i="23"/>
  <c r="E24" i="23"/>
  <c r="P71" i="18"/>
  <c r="C71" i="18"/>
  <c r="I71" i="18"/>
  <c r="C71" i="14"/>
  <c r="D71" i="14"/>
  <c r="E71" i="14"/>
  <c r="F71" i="18" l="1"/>
  <c r="J24" i="23"/>
  <c r="M24" i="23" s="1"/>
  <c r="K24" i="23"/>
  <c r="N24" i="23" s="1"/>
  <c r="Q54" i="21"/>
  <c r="F53" i="32"/>
  <c r="F24" i="28"/>
  <c r="E70" i="14"/>
  <c r="E69" i="14"/>
  <c r="E68" i="14"/>
  <c r="E46" i="14"/>
  <c r="E44" i="14"/>
  <c r="E41" i="14"/>
  <c r="E42" i="14"/>
  <c r="E40" i="14"/>
  <c r="E35" i="14"/>
  <c r="E26" i="14"/>
  <c r="E24" i="14"/>
  <c r="E21" i="14"/>
  <c r="E20" i="14"/>
  <c r="E9" i="14"/>
  <c r="E10" i="14"/>
  <c r="E11" i="14"/>
  <c r="E12" i="14"/>
  <c r="E13" i="14"/>
  <c r="E14" i="14"/>
  <c r="E15" i="14"/>
  <c r="E3" i="14"/>
  <c r="E4" i="14"/>
  <c r="E5" i="14"/>
  <c r="E6" i="14"/>
  <c r="C7" i="14"/>
  <c r="D7" i="14"/>
  <c r="E7" i="14"/>
  <c r="C3" i="14"/>
  <c r="D3" i="14"/>
  <c r="C4" i="14"/>
  <c r="D4" i="14"/>
  <c r="C5" i="14"/>
  <c r="D5" i="14"/>
  <c r="C6" i="14"/>
  <c r="D6" i="14"/>
  <c r="C9" i="14"/>
  <c r="D9" i="14"/>
  <c r="C8" i="14"/>
  <c r="E8" i="14"/>
  <c r="C3" i="37" l="1"/>
  <c r="D3" i="37"/>
  <c r="E3" i="37"/>
  <c r="C4" i="37"/>
  <c r="D4" i="37"/>
  <c r="E4" i="37"/>
  <c r="C5" i="37"/>
  <c r="D5" i="37"/>
  <c r="E5" i="37"/>
  <c r="C4" i="34"/>
  <c r="D4" i="34"/>
  <c r="E4" i="34"/>
  <c r="F4" i="34"/>
  <c r="C5" i="34"/>
  <c r="D5" i="34"/>
  <c r="E5" i="34"/>
  <c r="F5" i="34"/>
  <c r="D3" i="34"/>
  <c r="E3" i="34"/>
  <c r="C3" i="34"/>
  <c r="H4" i="34" l="1"/>
  <c r="F4" i="37"/>
  <c r="F5" i="37"/>
  <c r="G4" i="34"/>
  <c r="G3" i="34"/>
  <c r="C28" i="32"/>
  <c r="D28" i="32"/>
  <c r="E28" i="32"/>
  <c r="C31" i="32"/>
  <c r="D31" i="32"/>
  <c r="E31" i="32"/>
  <c r="C13" i="32"/>
  <c r="D13" i="32"/>
  <c r="E13" i="32"/>
  <c r="C17" i="32"/>
  <c r="D17" i="32"/>
  <c r="E17" i="32"/>
  <c r="C18" i="32"/>
  <c r="D18" i="32"/>
  <c r="E18" i="32"/>
  <c r="C15" i="32"/>
  <c r="D15" i="32"/>
  <c r="E15" i="32"/>
  <c r="C38" i="32"/>
  <c r="D38" i="32"/>
  <c r="E38" i="32"/>
  <c r="C22" i="32"/>
  <c r="D22" i="32"/>
  <c r="E22" i="32"/>
  <c r="C32" i="32"/>
  <c r="D32" i="32"/>
  <c r="E32" i="32"/>
  <c r="C33" i="32"/>
  <c r="D33" i="32"/>
  <c r="E33" i="32"/>
  <c r="C5" i="32"/>
  <c r="D5" i="32"/>
  <c r="E5" i="32"/>
  <c r="C23" i="32"/>
  <c r="D23" i="32"/>
  <c r="E23" i="32"/>
  <c r="C36" i="32"/>
  <c r="D36" i="32"/>
  <c r="E36" i="32"/>
  <c r="C30" i="32"/>
  <c r="D30" i="32"/>
  <c r="E30" i="32"/>
  <c r="C24" i="32"/>
  <c r="D24" i="32"/>
  <c r="E24" i="32"/>
  <c r="C37" i="32"/>
  <c r="D37" i="32"/>
  <c r="E37" i="32"/>
  <c r="C29" i="32"/>
  <c r="D29" i="32"/>
  <c r="E29" i="32"/>
  <c r="C14" i="32"/>
  <c r="D14" i="32"/>
  <c r="E14" i="32"/>
  <c r="C10" i="32"/>
  <c r="D10" i="32"/>
  <c r="E10" i="32"/>
  <c r="C34" i="32"/>
  <c r="D34" i="32"/>
  <c r="E34" i="32"/>
  <c r="C12" i="32"/>
  <c r="D12" i="32"/>
  <c r="E12" i="32"/>
  <c r="C27" i="32"/>
  <c r="D27" i="32"/>
  <c r="E27" i="32"/>
  <c r="C4" i="32"/>
  <c r="D4" i="32"/>
  <c r="E4" i="32"/>
  <c r="C25" i="32"/>
  <c r="D25" i="32"/>
  <c r="E25" i="32"/>
  <c r="C3" i="32"/>
  <c r="D3" i="32"/>
  <c r="E3" i="32"/>
  <c r="C20" i="32"/>
  <c r="D20" i="32"/>
  <c r="E20" i="32"/>
  <c r="C6" i="32"/>
  <c r="D6" i="32"/>
  <c r="E6" i="32"/>
  <c r="C35" i="32"/>
  <c r="D35" i="32"/>
  <c r="E35" i="32"/>
  <c r="C40" i="32"/>
  <c r="D40" i="32"/>
  <c r="E40" i="32"/>
  <c r="C19" i="32"/>
  <c r="D19" i="32"/>
  <c r="E19" i="32"/>
  <c r="C21" i="32"/>
  <c r="D21" i="32"/>
  <c r="E21" i="32"/>
  <c r="C8" i="32"/>
  <c r="D8" i="32"/>
  <c r="E8" i="32"/>
  <c r="C39" i="32"/>
  <c r="D39" i="32"/>
  <c r="E39" i="32"/>
  <c r="C16" i="32"/>
  <c r="D16" i="32"/>
  <c r="E16" i="32"/>
  <c r="C9" i="32"/>
  <c r="D9" i="32"/>
  <c r="E9" i="32"/>
  <c r="C7" i="32"/>
  <c r="D7" i="32"/>
  <c r="E7" i="32"/>
  <c r="E11" i="32"/>
  <c r="D11" i="32"/>
  <c r="C11" i="32"/>
  <c r="C52" i="32"/>
  <c r="D52" i="32"/>
  <c r="E52" i="32"/>
  <c r="C48" i="32"/>
  <c r="D48" i="32"/>
  <c r="E48" i="32"/>
  <c r="C47" i="32"/>
  <c r="D47" i="32"/>
  <c r="E47" i="32"/>
  <c r="C50" i="32"/>
  <c r="D50" i="32"/>
  <c r="E50" i="32"/>
  <c r="C46" i="32"/>
  <c r="D46" i="32"/>
  <c r="E46" i="32"/>
  <c r="C42" i="32"/>
  <c r="D42" i="32"/>
  <c r="E42" i="32"/>
  <c r="C44" i="32"/>
  <c r="D44" i="32"/>
  <c r="E44" i="32"/>
  <c r="C49" i="32"/>
  <c r="D49" i="32"/>
  <c r="E49" i="32"/>
  <c r="C43" i="32"/>
  <c r="D43" i="32"/>
  <c r="E43" i="32"/>
  <c r="C51" i="32"/>
  <c r="D51" i="32"/>
  <c r="E51" i="32"/>
  <c r="C45" i="32"/>
  <c r="D45" i="32"/>
  <c r="E45" i="32"/>
  <c r="C57" i="32" l="1"/>
  <c r="D57" i="32"/>
  <c r="E57" i="32"/>
  <c r="F8" i="32"/>
  <c r="F35" i="32"/>
  <c r="F20" i="32"/>
  <c r="F25" i="32"/>
  <c r="F27" i="32"/>
  <c r="F34" i="32"/>
  <c r="F14" i="32"/>
  <c r="F11" i="32"/>
  <c r="F41" i="32"/>
  <c r="F39" i="32"/>
  <c r="F40" i="32"/>
  <c r="F3" i="32"/>
  <c r="F12" i="32"/>
  <c r="F29" i="32"/>
  <c r="F36" i="32"/>
  <c r="F32" i="32"/>
  <c r="F31" i="32"/>
  <c r="F15" i="32"/>
  <c r="F7" i="32"/>
  <c r="F16" i="32"/>
  <c r="F19" i="32"/>
  <c r="F26" i="32"/>
  <c r="F37" i="32"/>
  <c r="F30" i="32"/>
  <c r="F23" i="32"/>
  <c r="F33" i="32"/>
  <c r="F22" i="32"/>
  <c r="F38" i="32"/>
  <c r="F18" i="32"/>
  <c r="F13" i="32"/>
  <c r="F28" i="32"/>
  <c r="F9" i="32"/>
  <c r="F21" i="32"/>
  <c r="F6" i="32"/>
  <c r="F4" i="32"/>
  <c r="F10" i="32"/>
  <c r="F24" i="32"/>
  <c r="F5" i="32"/>
  <c r="F17" i="32"/>
  <c r="F45" i="32"/>
  <c r="F51" i="32"/>
  <c r="F43" i="32"/>
  <c r="F49" i="32"/>
  <c r="F44" i="32"/>
  <c r="F42" i="32"/>
  <c r="F46" i="32"/>
  <c r="F50" i="32"/>
  <c r="F47" i="32"/>
  <c r="F48" i="32"/>
  <c r="C21" i="21"/>
  <c r="E21" i="21"/>
  <c r="G21" i="21"/>
  <c r="L21" i="21"/>
  <c r="N21" i="21"/>
  <c r="P21" i="21"/>
  <c r="C29" i="21"/>
  <c r="E29" i="21"/>
  <c r="G29" i="21"/>
  <c r="L29" i="21"/>
  <c r="N29" i="21"/>
  <c r="P29" i="21"/>
  <c r="C12" i="21"/>
  <c r="E12" i="21"/>
  <c r="G12" i="21"/>
  <c r="L12" i="21"/>
  <c r="N12" i="21"/>
  <c r="P12" i="21"/>
  <c r="C22" i="21"/>
  <c r="E22" i="21"/>
  <c r="G22" i="21"/>
  <c r="L22" i="21"/>
  <c r="N22" i="21"/>
  <c r="P22" i="21"/>
  <c r="C15" i="21"/>
  <c r="E15" i="21"/>
  <c r="G15" i="21"/>
  <c r="L15" i="21"/>
  <c r="N15" i="21"/>
  <c r="P15" i="21"/>
  <c r="C18" i="21"/>
  <c r="E18" i="21"/>
  <c r="G18" i="21"/>
  <c r="L18" i="21"/>
  <c r="N18" i="21"/>
  <c r="P18" i="21"/>
  <c r="C39" i="21"/>
  <c r="E39" i="21"/>
  <c r="G39" i="21"/>
  <c r="L39" i="21"/>
  <c r="N39" i="21"/>
  <c r="P39" i="21"/>
  <c r="C24" i="21"/>
  <c r="E24" i="21"/>
  <c r="G24" i="21"/>
  <c r="L24" i="21"/>
  <c r="N24" i="21"/>
  <c r="P24" i="21"/>
  <c r="C32" i="21"/>
  <c r="E32" i="21"/>
  <c r="G32" i="21"/>
  <c r="L32" i="21"/>
  <c r="N32" i="21"/>
  <c r="P32" i="21"/>
  <c r="C30" i="21"/>
  <c r="E30" i="21"/>
  <c r="G30" i="21"/>
  <c r="L30" i="21"/>
  <c r="N30" i="21"/>
  <c r="P30" i="21"/>
  <c r="C5" i="21"/>
  <c r="E5" i="21"/>
  <c r="G5" i="21"/>
  <c r="L5" i="21"/>
  <c r="N5" i="21"/>
  <c r="P5" i="21"/>
  <c r="C20" i="21"/>
  <c r="E20" i="21"/>
  <c r="G20" i="21"/>
  <c r="L20" i="21"/>
  <c r="N20" i="21"/>
  <c r="P20" i="21"/>
  <c r="C35" i="21"/>
  <c r="E35" i="21"/>
  <c r="G35" i="21"/>
  <c r="L35" i="21"/>
  <c r="N35" i="21"/>
  <c r="P35" i="21"/>
  <c r="C33" i="21"/>
  <c r="E33" i="21"/>
  <c r="G33" i="21"/>
  <c r="L33" i="21"/>
  <c r="N33" i="21"/>
  <c r="P33" i="21"/>
  <c r="C17" i="21"/>
  <c r="E17" i="21"/>
  <c r="G17" i="21"/>
  <c r="L17" i="21"/>
  <c r="N17" i="21"/>
  <c r="P17" i="21"/>
  <c r="C43" i="21"/>
  <c r="E43" i="21"/>
  <c r="G43" i="21"/>
  <c r="L43" i="21"/>
  <c r="N43" i="21"/>
  <c r="P43" i="21"/>
  <c r="C34" i="21"/>
  <c r="E34" i="21"/>
  <c r="G34" i="21"/>
  <c r="L34" i="21"/>
  <c r="N34" i="21"/>
  <c r="P34" i="21"/>
  <c r="C19" i="21"/>
  <c r="E19" i="21"/>
  <c r="G19" i="21"/>
  <c r="L19" i="21"/>
  <c r="N19" i="21"/>
  <c r="P19" i="21"/>
  <c r="C11" i="21"/>
  <c r="E11" i="21"/>
  <c r="G11" i="21"/>
  <c r="L11" i="21"/>
  <c r="N11" i="21"/>
  <c r="P11" i="21"/>
  <c r="C36" i="21"/>
  <c r="E36" i="21"/>
  <c r="G36" i="21"/>
  <c r="L36" i="21"/>
  <c r="N36" i="21"/>
  <c r="P36" i="21"/>
  <c r="C13" i="21"/>
  <c r="E13" i="21"/>
  <c r="G13" i="21"/>
  <c r="L13" i="21"/>
  <c r="N13" i="21"/>
  <c r="P13" i="21"/>
  <c r="C31" i="21"/>
  <c r="E31" i="21"/>
  <c r="G31" i="21"/>
  <c r="L31" i="21"/>
  <c r="N31" i="21"/>
  <c r="P31" i="21"/>
  <c r="C3" i="21"/>
  <c r="E3" i="21"/>
  <c r="G3" i="21"/>
  <c r="L3" i="21"/>
  <c r="N3" i="21"/>
  <c r="P3" i="21"/>
  <c r="C26" i="21"/>
  <c r="E26" i="21"/>
  <c r="G26" i="21"/>
  <c r="L26" i="21"/>
  <c r="N26" i="21"/>
  <c r="P26" i="21"/>
  <c r="C6" i="21"/>
  <c r="E6" i="21"/>
  <c r="G6" i="21"/>
  <c r="L6" i="21"/>
  <c r="N6" i="21"/>
  <c r="P6" i="21"/>
  <c r="C25" i="21"/>
  <c r="E25" i="21"/>
  <c r="G25" i="21"/>
  <c r="L25" i="21"/>
  <c r="N25" i="21"/>
  <c r="P25" i="21"/>
  <c r="C8" i="21"/>
  <c r="E8" i="21"/>
  <c r="G8" i="21"/>
  <c r="L8" i="21"/>
  <c r="N8" i="21"/>
  <c r="P8" i="21"/>
  <c r="C40" i="21"/>
  <c r="E40" i="21"/>
  <c r="G40" i="21"/>
  <c r="L40" i="21"/>
  <c r="N40" i="21"/>
  <c r="P40" i="21"/>
  <c r="C41" i="21"/>
  <c r="E41" i="21"/>
  <c r="G41" i="21"/>
  <c r="L41" i="21"/>
  <c r="N41" i="21"/>
  <c r="P41" i="21"/>
  <c r="C28" i="21"/>
  <c r="E28" i="21"/>
  <c r="G28" i="21"/>
  <c r="L28" i="21"/>
  <c r="N28" i="21"/>
  <c r="P28" i="21"/>
  <c r="C23" i="21"/>
  <c r="E23" i="21"/>
  <c r="G23" i="21"/>
  <c r="L23" i="21"/>
  <c r="N23" i="21"/>
  <c r="P23" i="21"/>
  <c r="C4" i="21"/>
  <c r="E4" i="21"/>
  <c r="G4" i="21"/>
  <c r="L4" i="21"/>
  <c r="N4" i="21"/>
  <c r="P4" i="21"/>
  <c r="C45" i="21"/>
  <c r="E45" i="21"/>
  <c r="G45" i="21"/>
  <c r="L45" i="21"/>
  <c r="N45" i="21"/>
  <c r="P45" i="21"/>
  <c r="C14" i="21"/>
  <c r="E14" i="21"/>
  <c r="G14" i="21"/>
  <c r="L14" i="21"/>
  <c r="N14" i="21"/>
  <c r="P14" i="21"/>
  <c r="C10" i="21"/>
  <c r="E10" i="21"/>
  <c r="G10" i="21"/>
  <c r="L10" i="21"/>
  <c r="N10" i="21"/>
  <c r="P10" i="21"/>
  <c r="C7" i="21"/>
  <c r="E7" i="21"/>
  <c r="G7" i="21"/>
  <c r="L7" i="21"/>
  <c r="N7" i="21"/>
  <c r="P7" i="21"/>
  <c r="P16" i="21"/>
  <c r="N16" i="21"/>
  <c r="L16" i="21"/>
  <c r="G16" i="21"/>
  <c r="Q7" i="21" l="1"/>
  <c r="Q14" i="21"/>
  <c r="Q4" i="21"/>
  <c r="Q19" i="21"/>
  <c r="Q43" i="21"/>
  <c r="Q20" i="21"/>
  <c r="Q15" i="21"/>
  <c r="Q12" i="21"/>
  <c r="Q21" i="21"/>
  <c r="Q27" i="21"/>
  <c r="Q18" i="21"/>
  <c r="Q29" i="21"/>
  <c r="Q5" i="21"/>
  <c r="Q41" i="21"/>
  <c r="Q3" i="21"/>
  <c r="Q13" i="21"/>
  <c r="Q11" i="21"/>
  <c r="Q17" i="21"/>
  <c r="Q10" i="21"/>
  <c r="Q28" i="21"/>
  <c r="Q40" i="21"/>
  <c r="Q36" i="21"/>
  <c r="Q34" i="21"/>
  <c r="Q22" i="21"/>
  <c r="Q8" i="21"/>
  <c r="Q32" i="21"/>
  <c r="Q33" i="21"/>
  <c r="Q30" i="21"/>
  <c r="Q45" i="21"/>
  <c r="Q6" i="21"/>
  <c r="Q35" i="21"/>
  <c r="Q24" i="21"/>
  <c r="Q39" i="21"/>
  <c r="Q37" i="21"/>
  <c r="Q25" i="21"/>
  <c r="Q26" i="21"/>
  <c r="Q31" i="21"/>
  <c r="C16" i="21" l="1"/>
  <c r="Q16" i="21" s="1"/>
  <c r="E16" i="21"/>
  <c r="N48" i="21"/>
  <c r="N38" i="21"/>
  <c r="N49" i="21"/>
  <c r="N53" i="21"/>
  <c r="N44" i="21"/>
  <c r="N50" i="21"/>
  <c r="N47" i="21"/>
  <c r="N46" i="21"/>
  <c r="N42" i="21"/>
  <c r="N9" i="21"/>
  <c r="N51" i="21"/>
  <c r="N52" i="21"/>
  <c r="E48" i="21"/>
  <c r="E38" i="21"/>
  <c r="E49" i="21"/>
  <c r="E53" i="21"/>
  <c r="E44" i="21"/>
  <c r="E50" i="21"/>
  <c r="E46" i="21"/>
  <c r="E42" i="21"/>
  <c r="E9" i="21"/>
  <c r="E51" i="21"/>
  <c r="E52" i="21"/>
  <c r="C48" i="21"/>
  <c r="L48" i="21"/>
  <c r="C38" i="21"/>
  <c r="L38" i="21"/>
  <c r="C49" i="21"/>
  <c r="L49" i="21"/>
  <c r="C53" i="21"/>
  <c r="L53" i="21"/>
  <c r="C44" i="21"/>
  <c r="L44" i="21"/>
  <c r="C50" i="21"/>
  <c r="L50" i="21"/>
  <c r="L47" i="21"/>
  <c r="C46" i="21"/>
  <c r="L46" i="21"/>
  <c r="C42" i="21"/>
  <c r="L42" i="21"/>
  <c r="C9" i="21"/>
  <c r="L9" i="21"/>
  <c r="C51" i="21"/>
  <c r="L51" i="21"/>
  <c r="C52" i="21"/>
  <c r="L52" i="21"/>
  <c r="D5" i="23"/>
  <c r="D4" i="23"/>
  <c r="D8" i="23"/>
  <c r="D7" i="23"/>
  <c r="D6" i="23"/>
  <c r="D11" i="23"/>
  <c r="D14" i="23"/>
  <c r="D10" i="23"/>
  <c r="D12" i="23"/>
  <c r="D13" i="23"/>
  <c r="D15" i="23"/>
  <c r="D17" i="23"/>
  <c r="D16" i="23"/>
  <c r="D19" i="23"/>
  <c r="D22" i="23"/>
  <c r="D20" i="23"/>
  <c r="D21" i="23"/>
  <c r="D23" i="23"/>
  <c r="D18" i="23"/>
  <c r="D3" i="23"/>
  <c r="C3" i="23"/>
  <c r="C8" i="25"/>
  <c r="D8" i="25"/>
  <c r="I8" i="25"/>
  <c r="J8" i="25"/>
  <c r="C12" i="25"/>
  <c r="D12" i="25"/>
  <c r="I12" i="25"/>
  <c r="J12" i="25"/>
  <c r="C14" i="25"/>
  <c r="D14" i="25"/>
  <c r="I14" i="25"/>
  <c r="J14" i="25"/>
  <c r="C22" i="25"/>
  <c r="D22" i="25"/>
  <c r="I22" i="25"/>
  <c r="J22" i="25"/>
  <c r="C18" i="25"/>
  <c r="D18" i="25"/>
  <c r="I18" i="25"/>
  <c r="J18" i="25"/>
  <c r="C7" i="25"/>
  <c r="D7" i="25"/>
  <c r="I7" i="25"/>
  <c r="J7" i="25"/>
  <c r="C6" i="25"/>
  <c r="D6" i="25"/>
  <c r="I6" i="25"/>
  <c r="J6" i="25"/>
  <c r="C3" i="25"/>
  <c r="D3" i="25"/>
  <c r="I3" i="25"/>
  <c r="J3" i="25"/>
  <c r="C4" i="25"/>
  <c r="D4" i="25"/>
  <c r="I4" i="25"/>
  <c r="J4" i="25"/>
  <c r="C21" i="25"/>
  <c r="D21" i="25"/>
  <c r="I21" i="25"/>
  <c r="J21" i="25"/>
  <c r="C23" i="25"/>
  <c r="D23" i="25"/>
  <c r="I23" i="25"/>
  <c r="J23" i="25"/>
  <c r="C11" i="25"/>
  <c r="D11" i="25"/>
  <c r="I11" i="25"/>
  <c r="J11" i="25"/>
  <c r="C5" i="25"/>
  <c r="D5" i="25"/>
  <c r="I5" i="25"/>
  <c r="J5" i="25"/>
  <c r="C13" i="25"/>
  <c r="D13" i="25"/>
  <c r="I13" i="25"/>
  <c r="J13" i="25"/>
  <c r="C17" i="25"/>
  <c r="D17" i="25"/>
  <c r="I17" i="25"/>
  <c r="J17" i="25"/>
  <c r="C9" i="25"/>
  <c r="D9" i="25"/>
  <c r="I9" i="25"/>
  <c r="J9" i="25"/>
  <c r="C16" i="25"/>
  <c r="D16" i="25"/>
  <c r="I16" i="25"/>
  <c r="J16" i="25"/>
  <c r="C15" i="25"/>
  <c r="D15" i="25"/>
  <c r="I15" i="25"/>
  <c r="J15" i="25"/>
  <c r="C20" i="25"/>
  <c r="D20" i="25"/>
  <c r="I20" i="25"/>
  <c r="J20" i="25"/>
  <c r="C18" i="23"/>
  <c r="E18" i="23"/>
  <c r="P70" i="18"/>
  <c r="C70" i="18"/>
  <c r="I70" i="18"/>
  <c r="C70" i="14"/>
  <c r="D70" i="14"/>
  <c r="I25" i="25" l="1"/>
  <c r="I27" i="25" s="1"/>
  <c r="D26" i="23"/>
  <c r="D25" i="25"/>
  <c r="C25" i="25"/>
  <c r="F27" i="25" s="1"/>
  <c r="J25" i="25"/>
  <c r="J27" i="25" s="1"/>
  <c r="F70" i="18"/>
  <c r="N57" i="21"/>
  <c r="G27" i="25"/>
  <c r="L57" i="21"/>
  <c r="C57" i="21"/>
  <c r="J18" i="23"/>
  <c r="M18" i="23" s="1"/>
  <c r="F19" i="28"/>
  <c r="M20" i="25"/>
  <c r="F9" i="28"/>
  <c r="F13" i="28"/>
  <c r="F20" i="28"/>
  <c r="F4" i="28"/>
  <c r="F12" i="28"/>
  <c r="F17" i="28"/>
  <c r="L22" i="25"/>
  <c r="L8" i="25"/>
  <c r="F11" i="28"/>
  <c r="F15" i="28"/>
  <c r="F23" i="28"/>
  <c r="F3" i="28"/>
  <c r="M5" i="25"/>
  <c r="M11" i="25"/>
  <c r="M6" i="25"/>
  <c r="M18" i="25"/>
  <c r="M22" i="25"/>
  <c r="M12" i="25"/>
  <c r="L20" i="25"/>
  <c r="L15" i="25"/>
  <c r="L9" i="25"/>
  <c r="L13" i="25"/>
  <c r="L5" i="25"/>
  <c r="L3" i="25"/>
  <c r="L6" i="25"/>
  <c r="L7" i="25"/>
  <c r="L10" i="25"/>
  <c r="M17" i="25"/>
  <c r="M4" i="25"/>
  <c r="M3" i="25"/>
  <c r="L19" i="25"/>
  <c r="L18" i="25"/>
  <c r="L12" i="25"/>
  <c r="M8" i="25"/>
  <c r="F14" i="28"/>
  <c r="F16" i="28"/>
  <c r="F18" i="28"/>
  <c r="M15" i="25"/>
  <c r="M10" i="25"/>
  <c r="L11" i="25"/>
  <c r="L21" i="25"/>
  <c r="Q44" i="21"/>
  <c r="Q42" i="21"/>
  <c r="Q51" i="21"/>
  <c r="Q46" i="21"/>
  <c r="Q50" i="21"/>
  <c r="Q52" i="21"/>
  <c r="Q53" i="21"/>
  <c r="Q38" i="21"/>
  <c r="Q48" i="21"/>
  <c r="Q9" i="21"/>
  <c r="Q49" i="21"/>
  <c r="F22" i="28"/>
  <c r="F21" i="28"/>
  <c r="F6" i="28"/>
  <c r="F5" i="28"/>
  <c r="F7" i="28"/>
  <c r="F10" i="28"/>
  <c r="F8" i="28"/>
  <c r="L16" i="25"/>
  <c r="M9" i="25"/>
  <c r="L23" i="25"/>
  <c r="M21" i="25"/>
  <c r="M7" i="25"/>
  <c r="L14" i="25"/>
  <c r="M16" i="25"/>
  <c r="L17" i="25"/>
  <c r="M13" i="25"/>
  <c r="M23" i="25"/>
  <c r="L4" i="25"/>
  <c r="M19" i="25"/>
  <c r="M14" i="25"/>
  <c r="K18" i="23"/>
  <c r="N18" i="23" s="1"/>
  <c r="D31" i="28" l="1"/>
  <c r="E31" i="28"/>
  <c r="M63" i="21"/>
  <c r="L63" i="21"/>
  <c r="D63" i="21"/>
  <c r="C63" i="21"/>
  <c r="L61" i="21"/>
  <c r="O57" i="21"/>
  <c r="C61" i="21"/>
  <c r="F57" i="21"/>
  <c r="E61" i="21"/>
  <c r="E25" i="25"/>
  <c r="K25" i="25"/>
  <c r="E27" i="28"/>
  <c r="D27" i="28"/>
  <c r="E3" i="23"/>
  <c r="C5" i="23"/>
  <c r="C4" i="23"/>
  <c r="C8" i="23"/>
  <c r="C7" i="23"/>
  <c r="C6" i="23"/>
  <c r="C11" i="23"/>
  <c r="C14" i="23"/>
  <c r="C10" i="23"/>
  <c r="C12" i="23"/>
  <c r="C13" i="23"/>
  <c r="C15" i="23"/>
  <c r="C17" i="23"/>
  <c r="C16" i="23"/>
  <c r="C19" i="23"/>
  <c r="C22" i="23"/>
  <c r="C20" i="23"/>
  <c r="C21" i="23"/>
  <c r="C23" i="23"/>
  <c r="E5" i="23"/>
  <c r="E4" i="23"/>
  <c r="J4" i="23" s="1"/>
  <c r="M4" i="23" s="1"/>
  <c r="E8" i="23"/>
  <c r="J8" i="23" s="1"/>
  <c r="M8" i="23" s="1"/>
  <c r="E7" i="23"/>
  <c r="J7" i="23" s="1"/>
  <c r="M7" i="23" s="1"/>
  <c r="E6" i="23"/>
  <c r="E11" i="23"/>
  <c r="J11" i="23" s="1"/>
  <c r="M11" i="23" s="1"/>
  <c r="E14" i="23"/>
  <c r="J14" i="23" s="1"/>
  <c r="M14" i="23" s="1"/>
  <c r="E10" i="23"/>
  <c r="J10" i="23" s="1"/>
  <c r="M10" i="23" s="1"/>
  <c r="E12" i="23"/>
  <c r="J12" i="23" s="1"/>
  <c r="M12" i="23" s="1"/>
  <c r="E13" i="23"/>
  <c r="J13" i="23" s="1"/>
  <c r="M13" i="23" s="1"/>
  <c r="E15" i="23"/>
  <c r="J15" i="23" s="1"/>
  <c r="M15" i="23" s="1"/>
  <c r="E17" i="23"/>
  <c r="J17" i="23" s="1"/>
  <c r="M17" i="23" s="1"/>
  <c r="E16" i="23"/>
  <c r="J16" i="23" s="1"/>
  <c r="M16" i="23" s="1"/>
  <c r="E19" i="23"/>
  <c r="J19" i="23" s="1"/>
  <c r="M19" i="23" s="1"/>
  <c r="E22" i="23"/>
  <c r="J22" i="23" s="1"/>
  <c r="M22" i="23" s="1"/>
  <c r="E20" i="23"/>
  <c r="J20" i="23" s="1"/>
  <c r="M20" i="23" s="1"/>
  <c r="E21" i="23"/>
  <c r="J21" i="23" s="1"/>
  <c r="M21" i="23" s="1"/>
  <c r="E23" i="23"/>
  <c r="J23" i="23" s="1"/>
  <c r="M23" i="23" s="1"/>
  <c r="I52" i="18"/>
  <c r="I55" i="18"/>
  <c r="I36" i="18"/>
  <c r="I41" i="18"/>
  <c r="I42" i="18"/>
  <c r="I38" i="18"/>
  <c r="I64" i="18"/>
  <c r="I46" i="18"/>
  <c r="I56" i="18"/>
  <c r="I57" i="18"/>
  <c r="I26" i="18"/>
  <c r="I47" i="18"/>
  <c r="I62" i="18"/>
  <c r="I54" i="18"/>
  <c r="I48" i="18"/>
  <c r="I63" i="18"/>
  <c r="I53" i="18"/>
  <c r="I37" i="18"/>
  <c r="I33" i="18"/>
  <c r="I58" i="18"/>
  <c r="I35" i="18"/>
  <c r="I51" i="18"/>
  <c r="I25" i="18"/>
  <c r="I49" i="18"/>
  <c r="I23" i="18"/>
  <c r="I44" i="18"/>
  <c r="I27" i="18"/>
  <c r="I60" i="18"/>
  <c r="I67" i="18"/>
  <c r="I43" i="18"/>
  <c r="I45" i="18"/>
  <c r="I30" i="18"/>
  <c r="I65" i="18"/>
  <c r="I39" i="18"/>
  <c r="I32" i="18"/>
  <c r="I28" i="18"/>
  <c r="I34" i="18"/>
  <c r="P52" i="18"/>
  <c r="P55" i="18"/>
  <c r="P36" i="18"/>
  <c r="P41" i="18"/>
  <c r="P42" i="18"/>
  <c r="P38" i="18"/>
  <c r="P64" i="18"/>
  <c r="P46" i="18"/>
  <c r="P56" i="18"/>
  <c r="P57" i="18"/>
  <c r="P26" i="18"/>
  <c r="P47" i="18"/>
  <c r="P62" i="18"/>
  <c r="P54" i="18"/>
  <c r="P48" i="18"/>
  <c r="P63" i="18"/>
  <c r="P53" i="18"/>
  <c r="P37" i="18"/>
  <c r="P33" i="18"/>
  <c r="P58" i="18"/>
  <c r="P35" i="18"/>
  <c r="P51" i="18"/>
  <c r="P25" i="18"/>
  <c r="P49" i="18"/>
  <c r="P23" i="18"/>
  <c r="P44" i="18"/>
  <c r="P27" i="18"/>
  <c r="P60" i="18"/>
  <c r="P67" i="18"/>
  <c r="P43" i="18"/>
  <c r="P45" i="18"/>
  <c r="P30" i="18"/>
  <c r="P65" i="18"/>
  <c r="P39" i="18"/>
  <c r="P32" i="18"/>
  <c r="P28" i="18"/>
  <c r="P34" i="18"/>
  <c r="C52" i="18"/>
  <c r="C55" i="18"/>
  <c r="C36" i="18"/>
  <c r="C41" i="18"/>
  <c r="C42" i="18"/>
  <c r="C38" i="18"/>
  <c r="C64" i="18"/>
  <c r="C46" i="18"/>
  <c r="C56" i="18"/>
  <c r="C57" i="18"/>
  <c r="C26" i="18"/>
  <c r="C47" i="18"/>
  <c r="C62" i="18"/>
  <c r="C54" i="18"/>
  <c r="C48" i="18"/>
  <c r="C63" i="18"/>
  <c r="C53" i="18"/>
  <c r="C37" i="18"/>
  <c r="C33" i="18"/>
  <c r="C58" i="18"/>
  <c r="C35" i="18"/>
  <c r="C51" i="18"/>
  <c r="C25" i="18"/>
  <c r="C49" i="18"/>
  <c r="C23" i="18"/>
  <c r="C44" i="18"/>
  <c r="C27" i="18"/>
  <c r="C60" i="18"/>
  <c r="C67" i="18"/>
  <c r="C43" i="18"/>
  <c r="C45" i="18"/>
  <c r="C30" i="18"/>
  <c r="C65" i="18"/>
  <c r="C39" i="18"/>
  <c r="C32" i="18"/>
  <c r="C28" i="18"/>
  <c r="C34" i="18"/>
  <c r="J3" i="23" l="1"/>
  <c r="M3" i="23" s="1"/>
  <c r="E26" i="23"/>
  <c r="C26" i="23"/>
  <c r="D30" i="23" s="1"/>
  <c r="F34" i="18"/>
  <c r="F39" i="18"/>
  <c r="F43" i="18"/>
  <c r="F44" i="18"/>
  <c r="F51" i="18"/>
  <c r="F37" i="18"/>
  <c r="F54" i="18"/>
  <c r="F57" i="18"/>
  <c r="F38" i="18"/>
  <c r="F55" i="18"/>
  <c r="F65" i="18"/>
  <c r="F35" i="18"/>
  <c r="F53" i="18"/>
  <c r="F62" i="18"/>
  <c r="F56" i="18"/>
  <c r="F42" i="18"/>
  <c r="F52" i="18"/>
  <c r="F28" i="18"/>
  <c r="F49" i="18"/>
  <c r="F58" i="18"/>
  <c r="F63" i="18"/>
  <c r="F47" i="18"/>
  <c r="F46" i="18"/>
  <c r="F41" i="18"/>
  <c r="F32" i="18"/>
  <c r="F45" i="18"/>
  <c r="F27" i="18"/>
  <c r="F25" i="18"/>
  <c r="F33" i="18"/>
  <c r="F48" i="18"/>
  <c r="F26" i="18"/>
  <c r="F64" i="18"/>
  <c r="F36" i="18"/>
  <c r="F70" i="21"/>
  <c r="D64" i="21"/>
  <c r="O70" i="21"/>
  <c r="Q70" i="21" s="1"/>
  <c r="M64" i="21"/>
  <c r="M75" i="21" s="1"/>
  <c r="F68" i="21"/>
  <c r="C64" i="21"/>
  <c r="O68" i="21"/>
  <c r="Q68" i="21" s="1"/>
  <c r="L64" i="21"/>
  <c r="F68" i="18"/>
  <c r="F67" i="18"/>
  <c r="F23" i="18"/>
  <c r="F30" i="18"/>
  <c r="F60" i="18"/>
  <c r="K5" i="23"/>
  <c r="N5" i="23" s="1"/>
  <c r="J5" i="23"/>
  <c r="M5" i="23" s="1"/>
  <c r="K6" i="23"/>
  <c r="N6" i="23" s="1"/>
  <c r="J6" i="23"/>
  <c r="M6" i="23" s="1"/>
  <c r="E30" i="23"/>
  <c r="K22" i="23"/>
  <c r="N22" i="23" s="1"/>
  <c r="K15" i="23"/>
  <c r="N15" i="23" s="1"/>
  <c r="K10" i="23"/>
  <c r="N10" i="23" s="1"/>
  <c r="K7" i="23"/>
  <c r="N7" i="23" s="1"/>
  <c r="K11" i="23"/>
  <c r="N11" i="23" s="1"/>
  <c r="K4" i="23"/>
  <c r="N4" i="23" s="1"/>
  <c r="K16" i="23"/>
  <c r="N16" i="23" s="1"/>
  <c r="K12" i="23"/>
  <c r="N12" i="23" s="1"/>
  <c r="K20" i="23"/>
  <c r="N20" i="23" s="1"/>
  <c r="K17" i="23"/>
  <c r="N17" i="23" s="1"/>
  <c r="K9" i="23"/>
  <c r="N9" i="23" s="1"/>
  <c r="K14" i="23"/>
  <c r="N14" i="23" s="1"/>
  <c r="K8" i="23"/>
  <c r="N8" i="23" s="1"/>
  <c r="K13" i="23"/>
  <c r="N13" i="23" s="1"/>
  <c r="K21" i="23"/>
  <c r="N21" i="23" s="1"/>
  <c r="K23" i="23"/>
  <c r="N23" i="23" s="1"/>
  <c r="K19" i="23"/>
  <c r="N19" i="23" s="1"/>
  <c r="K3" i="23"/>
  <c r="N3" i="23" s="1"/>
  <c r="C3" i="18"/>
  <c r="P3" i="18"/>
  <c r="I3" i="18"/>
  <c r="C59" i="18"/>
  <c r="P59" i="18"/>
  <c r="I59" i="18"/>
  <c r="C9" i="18"/>
  <c r="P9" i="18"/>
  <c r="I9" i="18"/>
  <c r="C24" i="18"/>
  <c r="P24" i="18"/>
  <c r="I24" i="18"/>
  <c r="C19" i="18"/>
  <c r="P19" i="18"/>
  <c r="I19" i="18"/>
  <c r="C31" i="18"/>
  <c r="P31" i="18"/>
  <c r="I31" i="18"/>
  <c r="C6" i="18"/>
  <c r="P6" i="18"/>
  <c r="I6" i="18"/>
  <c r="C14" i="18"/>
  <c r="P14" i="18"/>
  <c r="I14" i="18"/>
  <c r="C61" i="18"/>
  <c r="P61" i="18"/>
  <c r="I61" i="18"/>
  <c r="C4" i="18"/>
  <c r="P4" i="18"/>
  <c r="I4" i="18"/>
  <c r="C29" i="18"/>
  <c r="P29" i="18"/>
  <c r="I29" i="18"/>
  <c r="C21" i="18"/>
  <c r="P21" i="18"/>
  <c r="I21" i="18"/>
  <c r="C17" i="18"/>
  <c r="P17" i="18"/>
  <c r="I17" i="18"/>
  <c r="C11" i="18"/>
  <c r="P11" i="18"/>
  <c r="I11" i="18"/>
  <c r="C13" i="18"/>
  <c r="P13" i="18"/>
  <c r="I13" i="18"/>
  <c r="C5" i="18"/>
  <c r="P5" i="18"/>
  <c r="I5" i="18"/>
  <c r="C7" i="18"/>
  <c r="P7" i="18"/>
  <c r="I7" i="18"/>
  <c r="C20" i="18"/>
  <c r="P20" i="18"/>
  <c r="I20" i="18"/>
  <c r="C8" i="18"/>
  <c r="P8" i="18"/>
  <c r="I8" i="18"/>
  <c r="C22" i="18"/>
  <c r="P22" i="18"/>
  <c r="I22" i="18"/>
  <c r="C40" i="18"/>
  <c r="P40" i="18"/>
  <c r="I40" i="18"/>
  <c r="C16" i="18"/>
  <c r="P16" i="18"/>
  <c r="I16" i="18"/>
  <c r="C66" i="18"/>
  <c r="P66" i="18"/>
  <c r="I66" i="18"/>
  <c r="C69" i="18"/>
  <c r="P69" i="18"/>
  <c r="I69" i="18"/>
  <c r="C10" i="18"/>
  <c r="P10" i="18"/>
  <c r="I10" i="18"/>
  <c r="I15" i="18"/>
  <c r="P15" i="18"/>
  <c r="C15" i="18"/>
  <c r="F10" i="18" l="1"/>
  <c r="F7" i="18"/>
  <c r="P75" i="18"/>
  <c r="C75" i="18"/>
  <c r="I75" i="18"/>
  <c r="E28" i="23" s="1"/>
  <c r="F40" i="18"/>
  <c r="F71" i="21"/>
  <c r="F17" i="18"/>
  <c r="F15" i="18"/>
  <c r="F66" i="18"/>
  <c r="E31" i="23"/>
  <c r="F61" i="18"/>
  <c r="F19" i="18"/>
  <c r="F3" i="18"/>
  <c r="F13" i="18"/>
  <c r="F29" i="18"/>
  <c r="F6" i="18"/>
  <c r="F8" i="18"/>
  <c r="F9" i="18"/>
  <c r="M26" i="23"/>
  <c r="L75" i="21"/>
  <c r="L76" i="21" s="1"/>
  <c r="O71" i="21"/>
  <c r="Q71" i="21" s="1"/>
  <c r="F4" i="18"/>
  <c r="F31" i="18"/>
  <c r="F59" i="18"/>
  <c r="F18" i="18"/>
  <c r="F16" i="18"/>
  <c r="F20" i="18"/>
  <c r="F11" i="18"/>
  <c r="F69" i="18"/>
  <c r="F22" i="18"/>
  <c r="F5" i="18"/>
  <c r="F21" i="18"/>
  <c r="F14" i="18"/>
  <c r="F24" i="18"/>
  <c r="N26" i="23"/>
  <c r="F75" i="18" l="1"/>
  <c r="F76" i="18" s="1"/>
  <c r="M76" i="21"/>
  <c r="M78" i="21" s="1"/>
  <c r="N78" i="21" s="1"/>
  <c r="C60" i="32"/>
  <c r="C29" i="28"/>
  <c r="E60" i="32"/>
  <c r="E29" i="28"/>
  <c r="L58" i="21"/>
  <c r="I79" i="18"/>
  <c r="D69" i="14"/>
  <c r="C69" i="14"/>
  <c r="D68" i="14"/>
  <c r="C68" i="14"/>
  <c r="D46" i="14"/>
  <c r="C46" i="14"/>
  <c r="D44" i="14"/>
  <c r="C44" i="14"/>
  <c r="D42" i="14"/>
  <c r="C42" i="14"/>
  <c r="D41" i="14"/>
  <c r="C41" i="14"/>
  <c r="D40" i="14"/>
  <c r="C40" i="14"/>
  <c r="D35" i="14"/>
  <c r="C35" i="14"/>
  <c r="D26" i="14"/>
  <c r="C26" i="14"/>
  <c r="D24" i="14"/>
  <c r="C24" i="14"/>
  <c r="D21" i="14"/>
  <c r="C21" i="14"/>
  <c r="D20" i="14"/>
  <c r="C20" i="14"/>
  <c r="D15" i="14"/>
  <c r="C15" i="14"/>
  <c r="D14" i="14"/>
  <c r="C14" i="14"/>
  <c r="D13" i="14"/>
  <c r="C13" i="14"/>
  <c r="D12" i="14"/>
  <c r="C12" i="14"/>
  <c r="D11" i="14"/>
  <c r="C11" i="14"/>
  <c r="D10" i="14"/>
  <c r="C10" i="14"/>
  <c r="D8" i="14"/>
  <c r="C75" i="14" l="1"/>
  <c r="I76" i="18"/>
  <c r="I81" i="18" s="1"/>
  <c r="D29" i="28"/>
  <c r="E30" i="28" s="1"/>
  <c r="D28" i="23"/>
  <c r="D60" i="32"/>
  <c r="C28" i="23"/>
  <c r="E75" i="14"/>
  <c r="D75" i="14"/>
  <c r="E78" i="14" l="1"/>
  <c r="D78" i="14"/>
  <c r="F76" i="14"/>
</calcChain>
</file>

<file path=xl/sharedStrings.xml><?xml version="1.0" encoding="utf-8"?>
<sst xmlns="http://schemas.openxmlformats.org/spreadsheetml/2006/main" count="1251" uniqueCount="338">
  <si>
    <t>Наименование МФО</t>
  </si>
  <si>
    <t>Портфель микрозаймов, млн руб. (с учетом просроченной задолженности)</t>
  </si>
  <si>
    <t>Уровень просроченной свыше 90 дней задолженности в портфеле микрозаймов, %</t>
  </si>
  <si>
    <t>Портфель займов (свыше 3 млн руб.), млн руб.</t>
  </si>
  <si>
    <t>Портфель микрозаймов, тыс. руб. (с учетом просроченной задолженности)</t>
  </si>
  <si>
    <t>н/д</t>
  </si>
  <si>
    <t>Темп прироста портфеля без учёта NPL90+ за 12 мес., %</t>
  </si>
  <si>
    <t>Портфель PDL-микрозаймов, млн руб.</t>
  </si>
  <si>
    <t>Займер</t>
  </si>
  <si>
    <t>Кредитех Рус</t>
  </si>
  <si>
    <t>Срочноденьги</t>
  </si>
  <si>
    <t>Конга</t>
  </si>
  <si>
    <t>7728771940, 7725850061</t>
  </si>
  <si>
    <t>Экофинанс</t>
  </si>
  <si>
    <t>Кредит 911</t>
  </si>
  <si>
    <t>МигКредит</t>
  </si>
  <si>
    <t>Аванс</t>
  </si>
  <si>
    <t>Тополь</t>
  </si>
  <si>
    <t>0278200683</t>
  </si>
  <si>
    <t>MoneyMan</t>
  </si>
  <si>
    <t xml:space="preserve"> - </t>
  </si>
  <si>
    <t>Портфель POS-микрозаймов, млн руб.</t>
  </si>
  <si>
    <t>Форвард</t>
  </si>
  <si>
    <t>Портфель IL-микрозаймов, млн руб.</t>
  </si>
  <si>
    <t>Ваш инвестор</t>
  </si>
  <si>
    <t>Микро Капитал</t>
  </si>
  <si>
    <t>Темп прироста портфеля за 12 мес., %</t>
  </si>
  <si>
    <t>Темп прироста портфеля микрозаймов за 12 мес., %</t>
  </si>
  <si>
    <t>Темп прироста за 12 мес., %</t>
  </si>
  <si>
    <t>Портфель микрозаймов 01.01.19, млн руб.</t>
  </si>
  <si>
    <t>Таблица 1. Рэнкинг МФО по общему размеру портфеля микрозаймов на 01.01.2019 (тело долга с учетом просроченной задолженности 90+)</t>
  </si>
  <si>
    <t>CarMoney</t>
  </si>
  <si>
    <t>Eqvanta</t>
  </si>
  <si>
    <t>Арифметика</t>
  </si>
  <si>
    <t>ВЕБ-ЗАЙМ</t>
  </si>
  <si>
    <t>Взаимно</t>
  </si>
  <si>
    <t>ВЭББАНКИР</t>
  </si>
  <si>
    <t>Доброзайм</t>
  </si>
  <si>
    <t>Займиго</t>
  </si>
  <si>
    <t>Лайм-займ</t>
  </si>
  <si>
    <t>Макро (Монеза)</t>
  </si>
  <si>
    <t>Мани мен</t>
  </si>
  <si>
    <t>Оптимус (Езаем)</t>
  </si>
  <si>
    <t>Платиза</t>
  </si>
  <si>
    <t>ПРОФИРЕАЛ</t>
  </si>
  <si>
    <t>Саммит</t>
  </si>
  <si>
    <t>ЭйрЛоанс_Kviku</t>
  </si>
  <si>
    <t>ДЗП-центр</t>
  </si>
  <si>
    <t>МФО Алтай</t>
  </si>
  <si>
    <t>МФО Архангельска</t>
  </si>
  <si>
    <t>МФО Астрахани</t>
  </si>
  <si>
    <t>МФО Башкирии</t>
  </si>
  <si>
    <t>МФО Владимира</t>
  </si>
  <si>
    <t>МФО Вологодской области</t>
  </si>
  <si>
    <t>МФО Воронежской области</t>
  </si>
  <si>
    <t>МФО Забайкальского края</t>
  </si>
  <si>
    <t>МФО Иркутской области</t>
  </si>
  <si>
    <t>МФО Калининграда</t>
  </si>
  <si>
    <t>МФО Кемеровской области</t>
  </si>
  <si>
    <t>МФО Краснодарского края</t>
  </si>
  <si>
    <t>МФО Красноярска</t>
  </si>
  <si>
    <t>МФО Курганской области</t>
  </si>
  <si>
    <t>МФО Курской области</t>
  </si>
  <si>
    <t>МФО Мордовии</t>
  </si>
  <si>
    <t>МФО Ненецкого автономного округа</t>
  </si>
  <si>
    <t>МФО Нижнего Новгорода</t>
  </si>
  <si>
    <t>МФО Новгорода</t>
  </si>
  <si>
    <t>МФО Новосибирской обл</t>
  </si>
  <si>
    <t>МФО Оренбургской области</t>
  </si>
  <si>
    <t>МФО Орловской области</t>
  </si>
  <si>
    <t>МФО Пензы</t>
  </si>
  <si>
    <t>МФО Ростова</t>
  </si>
  <si>
    <t>МФО Саратовской области</t>
  </si>
  <si>
    <t>МФО Свердловской области</t>
  </si>
  <si>
    <t>МФО Смоленска</t>
  </si>
  <si>
    <t>МФО Ставропольского края</t>
  </si>
  <si>
    <t>МФО Таганрога</t>
  </si>
  <si>
    <t>МФО Тамбова</t>
  </si>
  <si>
    <t>МФО Тверской области</t>
  </si>
  <si>
    <t>МФО Тульской области</t>
  </si>
  <si>
    <t>МФО Удмуртии</t>
  </si>
  <si>
    <t>МФО Усть-Кута</t>
  </si>
  <si>
    <t>МФО Хабаровского края</t>
  </si>
  <si>
    <t>МФО Чувашской Республики</t>
  </si>
  <si>
    <t>МФО Югры</t>
  </si>
  <si>
    <t>МФО Якутска</t>
  </si>
  <si>
    <t>МФО Ямало-Ненецкого автономного округа</t>
  </si>
  <si>
    <t>Центр Финансовой Помощи</t>
  </si>
  <si>
    <t>Место в рэнкинге на 01.07.19</t>
  </si>
  <si>
    <t>Портфель микрозаймов 01.07.19, млн руб.</t>
  </si>
  <si>
    <t>Портфель микрозаймов 01.07.18, млн руб.</t>
  </si>
  <si>
    <t>Портфель PDL-микрозаймов (просрочка_0_90), млн руб.</t>
  </si>
  <si>
    <t>На 01.07.19</t>
  </si>
  <si>
    <t>На 01.07.18</t>
  </si>
  <si>
    <t>Портфель PDL-микрозаймов (просрочка от 0 до 90 дн), млн руб.</t>
  </si>
  <si>
    <t>Портфель PDL-микрозаймов, коэф-т резервирования, %</t>
  </si>
  <si>
    <t>Объем выданных PDL-микрозаймов за 1-е полугодие 2019, млн руб.</t>
  </si>
  <si>
    <t>Объем выданных PDL-микрозаймов за 1-е полугодие 2018, млн руб.</t>
  </si>
  <si>
    <t>Таблица 3. Рэнкинг МФО по портфелю микрозаймов ФЛ «до зарплаты» (PDL) на 01.07.2019</t>
  </si>
  <si>
    <t>Таблица 1. Рэнкинг МФО по общему размеру портфеля микрозаймов на 01.07.2019 (тело долга с учетом просроченной задолженности 90+)</t>
  </si>
  <si>
    <t>Портфель IL-микрозаймов (просрочка_0_90), млн руб.</t>
  </si>
  <si>
    <t>1 полугодие 2019</t>
  </si>
  <si>
    <t>1 полугодие 2018</t>
  </si>
  <si>
    <t>2 полугодие 2018</t>
  </si>
  <si>
    <t>Темп прироста выдачи за 12 мес., %</t>
  </si>
  <si>
    <t>2-е полугодие 2018</t>
  </si>
  <si>
    <t>Объем выданных SME-микрозаймов за 1-е полугодие 2018, млн руб.</t>
  </si>
  <si>
    <t>Объем выданных SME-микрозаймов за 1-е полугодие 2019, млн руб.</t>
  </si>
  <si>
    <t>Объем выданных SME-микрозаймов за 2-е полугодие 2018, млн руб.</t>
  </si>
  <si>
    <t>Портфель POS-микрозаймов (просрочка_0_90), млн руб.</t>
  </si>
  <si>
    <t>Примечание: Компания ООО МФК «ОТП Финанс» не раскрыла объем портфеля микрозаймов на 01.07.19. По нашим оценкам, компания заняла бы 1 место в рэнкинге по объему портфеля.</t>
  </si>
  <si>
    <t> 7724889891</t>
  </si>
  <si>
    <t>Портфель займов (свыше 5 млн руб.), млн руб.</t>
  </si>
  <si>
    <t>Макро и Оптимус</t>
  </si>
  <si>
    <t>7722355735, 7706780186</t>
  </si>
  <si>
    <t>срочноденьги</t>
  </si>
  <si>
    <t>МФО Липецкой области</t>
  </si>
  <si>
    <t>Портфель PDL-микрозаймов, доля просрочки &gt;90 дн, %</t>
  </si>
  <si>
    <t>01.01.20_Прогноз</t>
  </si>
  <si>
    <t>СуммаТребовОснДолг_01.07.19</t>
  </si>
  <si>
    <t>СуммаТребовНачисл%%_01.07.19</t>
  </si>
  <si>
    <t>НМФК1/НМКК1_01.07.19</t>
  </si>
  <si>
    <t>РегКапитал_01.07.19</t>
  </si>
  <si>
    <t>ПДЛ_ПртфЧист_01.01.19</t>
  </si>
  <si>
    <t>ПДЛ_Начисл%%Чист_01.01.19</t>
  </si>
  <si>
    <t>НМФК1/НМКК1_01.07.19 (по 5115-У)</t>
  </si>
  <si>
    <t>НМФК1/НМКК1_01.01.20_ПрогнозМФО</t>
  </si>
  <si>
    <t>НМФК1/НМКК1 Прогноз МФО на 01.01.20, %</t>
  </si>
  <si>
    <t>НМФК1/НМКК1 на 01.07.19 (текущее), %</t>
  </si>
  <si>
    <t>НМФК1/НМКК1 на 01.07.19 (по 5115-У), %</t>
  </si>
  <si>
    <t xml:space="preserve">Расчет влияния введения в действие 5115-У на норматив достаточности собственных средств. </t>
  </si>
  <si>
    <t>Темп снижения норматива</t>
  </si>
  <si>
    <t xml:space="preserve">среднее </t>
  </si>
  <si>
    <t>2пг18</t>
  </si>
  <si>
    <t>1пг18</t>
  </si>
  <si>
    <t>1пг19</t>
  </si>
  <si>
    <t>по отчету БР</t>
  </si>
  <si>
    <t>ИТОГО</t>
  </si>
  <si>
    <t>доля PDL в выдачах</t>
  </si>
  <si>
    <t>Темп прироста портфеля к предыдущему кварталу, %</t>
  </si>
  <si>
    <t>1пг2018</t>
  </si>
  <si>
    <t>2пг2018</t>
  </si>
  <si>
    <t>1пг2019</t>
  </si>
  <si>
    <t>доля IL в выдачах</t>
  </si>
  <si>
    <t>доля SME в выдачах</t>
  </si>
  <si>
    <t>медиана</t>
  </si>
  <si>
    <t>среднее</t>
  </si>
  <si>
    <t>НМКК1/НМФК1</t>
  </si>
  <si>
    <t>(0,1*A2+A3*0,65)/К</t>
  </si>
  <si>
    <t>5115-У</t>
  </si>
  <si>
    <t>множество зависимостей для  значений отношения (0,1*A2+A3*0,65)/К от 1 до 10</t>
  </si>
  <si>
    <t>Портфель IL-микрозаймов, доля просрочки &gt;90 дн, %</t>
  </si>
  <si>
    <t>на 01.01.19</t>
  </si>
  <si>
    <t>доля просрочки &gt;90 дн, %</t>
  </si>
  <si>
    <t>SME</t>
  </si>
  <si>
    <t>PDL</t>
  </si>
  <si>
    <t>IL</t>
  </si>
  <si>
    <t xml:space="preserve"> просроченной свыше 90 дней</t>
  </si>
  <si>
    <t>суммарно по портфелю</t>
  </si>
  <si>
    <t>МФО в анкетировании</t>
  </si>
  <si>
    <t>МФО банковскик</t>
  </si>
  <si>
    <t>МФО в остальные</t>
  </si>
  <si>
    <t xml:space="preserve">Всего </t>
  </si>
  <si>
    <t>устанавливаем ориентировочно</t>
  </si>
  <si>
    <t>итоговая просрочка по рынку</t>
  </si>
  <si>
    <t>темп роста выдач PDL</t>
  </si>
  <si>
    <t>темп роста</t>
  </si>
  <si>
    <t>темп роста авдач IL</t>
  </si>
  <si>
    <t>ГК Саммит (Саммит и ДоброЗайм)</t>
  </si>
  <si>
    <t>6316103050</t>
  </si>
  <si>
    <t>Фонд «Свердловский областной фонд поддержки предпринимательства»</t>
  </si>
  <si>
    <t>Ростовское региональное агентство поддержки предпринимательства</t>
  </si>
  <si>
    <t>Удмуртский фонд развития предпринимательства</t>
  </si>
  <si>
    <t>Фонд микрофинансирования Краснодарского края</t>
  </si>
  <si>
    <t>Фонд «Югорская региональная микрокредитная компания»</t>
  </si>
  <si>
    <t>Ставропольский краевой фонд микрофинансирования</t>
  </si>
  <si>
    <t>НМКК "Липецкий областной фонд поддержки малого и среднего предпринимательства"</t>
  </si>
  <si>
    <t>«АПМБ» (Республика Чувашия)</t>
  </si>
  <si>
    <t>Фонд микрофинансирования НСО (Новосибирск)</t>
  </si>
  <si>
    <t>Фонд поддержки МСП Вологодской области</t>
  </si>
  <si>
    <t xml:space="preserve">Башкирская микрокредитная компания      </t>
  </si>
  <si>
    <t>Фонд микрофинансирования Орловской области</t>
  </si>
  <si>
    <t>ФПМП Хабаровского края</t>
  </si>
  <si>
    <t>«АФМ» (Алтайский край)</t>
  </si>
  <si>
    <t>МФО «Фонд финансовой поддержки СМП ЯНАО»</t>
  </si>
  <si>
    <t>МКК Фонд поддержки предпринимательства и предоставления гарантий Ненецкого автономного округа</t>
  </si>
  <si>
    <t>МКК Фонд поддержки предпринимательства Республики Мордовия</t>
  </si>
  <si>
    <t>Фонд развития предпринимательства Воронежской области</t>
  </si>
  <si>
    <t>Новгородский фонд поддержки малого предпринимательства</t>
  </si>
  <si>
    <t>АО "Микрофинансовая компания Пермского края"</t>
  </si>
  <si>
    <t>"АРБМКК" (бывш. КРАПМСБ, Красноярский Край)</t>
  </si>
  <si>
    <t>Архангельский региональный фонд "Развитие"</t>
  </si>
  <si>
    <t>ФСРМСП (Владимирская область)</t>
  </si>
  <si>
    <t>Тульский областной фонд поддержки МП</t>
  </si>
  <si>
    <t>Фонд микрокредитования субъектов малого предпринимательства в Саратовской области</t>
  </si>
  <si>
    <t>МКК  «Фонд микрокредитования Иркутской области»</t>
  </si>
  <si>
    <t>Фонд содействия кредитованию малого и среднего предпринимательства Тверскойобласти </t>
  </si>
  <si>
    <t>МКК  «Смоленский областной фонд поддержки предпринимательства» </t>
  </si>
  <si>
    <t>Астраханский фонд поддержки МСП</t>
  </si>
  <si>
    <t>Ассоциация МКК "Центр поддержки предпринимательства Курской области"</t>
  </si>
  <si>
    <t> МКК Государственный фонд поддержки предпринимательства Кемеровской области</t>
  </si>
  <si>
    <t>АО «Гарантийная микрофинансовая организация «Поручитель»</t>
  </si>
  <si>
    <t>Центр поддержки предпринимательства Калининградской области</t>
  </si>
  <si>
    <t>МФО «АРСГ Нижегородской области»</t>
  </si>
  <si>
    <t>МКК «Фонд микрофинансирования Курганской области»</t>
  </si>
  <si>
    <t>Фонд РП Республики Саха (Якутия)</t>
  </si>
  <si>
    <t>НО "Гарантийный фонддля субъектов малого и среднего предпринимательства Оренбургской области" </t>
  </si>
  <si>
    <t>Фонд развития промышленности Забайкальского края</t>
  </si>
  <si>
    <t>НО-МКК Фонд поддержки предпринимательства города Таганрога</t>
  </si>
  <si>
    <t>Фонд содействия кредитованию МСП Тамбовской области</t>
  </si>
  <si>
    <t>Фонд микрокредитования МСП МО "город Усть-Кут"</t>
  </si>
  <si>
    <t>ЭйрЛоанс (Kviku)</t>
  </si>
  <si>
    <t>До зарплаты (ДЗП-Центр)</t>
  </si>
  <si>
    <t>ГК Eqvanta (Быстроденьги и Турбозайм)</t>
  </si>
  <si>
    <t>7325081622, 7702820127</t>
  </si>
  <si>
    <t>Столичный Залоговый Дом (CarMoney)</t>
  </si>
  <si>
    <t>Webbankir</t>
  </si>
  <si>
    <t>ООО МКК "Арифметика"</t>
  </si>
  <si>
    <t>МФК «Лайм-Займ»</t>
  </si>
  <si>
    <t xml:space="preserve">7708333218, 7728757215, 7709900646 </t>
  </si>
  <si>
    <t>Платиза.ру</t>
  </si>
  <si>
    <t>Zaymigo</t>
  </si>
  <si>
    <t>ГК Взаимно</t>
  </si>
  <si>
    <t>Центр финансовой помощи</t>
  </si>
  <si>
    <t>Профиреал</t>
  </si>
  <si>
    <t>Веб-займ</t>
  </si>
  <si>
    <t>МФО Камчатки</t>
  </si>
  <si>
    <t>Камчатский государственный фонд поддержки предпринимательства</t>
  </si>
  <si>
    <t>Гринмани</t>
  </si>
  <si>
    <t>прежний</t>
  </si>
  <si>
    <t>по анкете</t>
  </si>
  <si>
    <t>новая</t>
  </si>
  <si>
    <t>старая</t>
  </si>
  <si>
    <t>медиана МКК (1948 на 01.04.2019)</t>
  </si>
  <si>
    <t>медиана МФК(51 на 01.04.2019)</t>
  </si>
  <si>
    <t>Лайм-Займ</t>
  </si>
  <si>
    <t>Микрофинансовая компания Пермского края</t>
  </si>
  <si>
    <t>КарМани</t>
  </si>
  <si>
    <t>Югорская региональная микрокредитная компания</t>
  </si>
  <si>
    <t>Липецкий областной фонд поддержки малого и среднего предпринимательства</t>
  </si>
  <si>
    <t>Центр поддержки предпринимательства Курской области</t>
  </si>
  <si>
    <t>Фонд микрокредитования МСП МО «город Усть-Кут»</t>
  </si>
  <si>
    <t>Архангельский региональный фонд «Развитие»</t>
  </si>
  <si>
    <t>Свердловский областной фонд поддержки предпринимательства</t>
  </si>
  <si>
    <t>Московский областной фонд микрофинансирования</t>
  </si>
  <si>
    <t>-</t>
  </si>
  <si>
    <t>Фонд развития города Якутска</t>
  </si>
  <si>
    <t>Фонд содействия кредитованию малого и среднего предпринимательства Тверской области </t>
  </si>
  <si>
    <t>Амурская региональная микрокредитная компания</t>
  </si>
  <si>
    <t>АРСГ и МКК для субъектов МСП Нижегородской области</t>
  </si>
  <si>
    <t>Фонд микрофинансирования предпринимательства Республики Крым</t>
  </si>
  <si>
    <t>ЦФП (VIVA Деньги)</t>
  </si>
  <si>
    <t>Темп прироста портфеля (без учёта NPL90+) за 12 мес., %</t>
  </si>
  <si>
    <t>Доля NPL90+ в портфеле микрозаймов, %</t>
  </si>
  <si>
    <t>Темп прироста  за 12 мес., %</t>
  </si>
  <si>
    <t>Гарантийная микрофинансовая организация «Поручитель» (Пензенская обл.)</t>
  </si>
  <si>
    <t>ГК Финбридж (бывш. Деньги Сразу)</t>
  </si>
  <si>
    <t>Академическая</t>
  </si>
  <si>
    <t>3664223480, 6162070130, 9201526872, 6162073437, 9201527428</t>
  </si>
  <si>
    <t>ГК Финбридж (бывш. Деньги Сразу)*</t>
  </si>
  <si>
    <t>Темп прироста выдачи, %</t>
  </si>
  <si>
    <t>Темп прироста, %</t>
  </si>
  <si>
    <t>ФИНТЕРРА</t>
  </si>
  <si>
    <t>ГК Финбридж (бывш. Деньги сразу)</t>
  </si>
  <si>
    <t>Таблица 7. Рэнкинг МФО по портфелю микрозаймов ЮЛ и ИП на 01.01.2021</t>
  </si>
  <si>
    <t>Место в рэнкинге на 01.01.21</t>
  </si>
  <si>
    <t>На 01.01.21</t>
  </si>
  <si>
    <t>На 01.01.20</t>
  </si>
  <si>
    <t>Алтайский фонд микрозаймов</t>
  </si>
  <si>
    <t>1326960625, 1326211337</t>
  </si>
  <si>
    <t>Фонд поддержки предпринимательства и Центр микрофинансирования Республики Мордовия</t>
  </si>
  <si>
    <t>Микрокредитная компания малого бизнеса Республики Башкортостан</t>
  </si>
  <si>
    <t>Фонд микрофинансирования Тюменской области</t>
  </si>
  <si>
    <t>Якшур-Бодьинский фонд поддержки предпринимательства (Республика Удмуртия)</t>
  </si>
  <si>
    <t>Фонд «МКК Еврейской АО»</t>
  </si>
  <si>
    <t>Таблица 8. Рэнкинг МФО по объему выданных микрозаймов ЮЛ и ИП за 2020 год</t>
  </si>
  <si>
    <t>Место в рэнкинге за 2020</t>
  </si>
  <si>
    <t>Объем выданных SME-микрозаймов за 2020, млн руб.</t>
  </si>
  <si>
    <t>Объем выданных SME-микрозаймов за 2019, млн руб.</t>
  </si>
  <si>
    <t>Таблица 3. Рэнкинг МФО по портфелю микрозаймов ФЛ «до зарплаты» (PDL) на 01.01.2021</t>
  </si>
  <si>
    <t>Портфель PDL без NPL90+, млн руб.</t>
  </si>
  <si>
    <t>Портфель PDL без NPL30+, млн руб.</t>
  </si>
  <si>
    <t>Киберлэндинг (Cash-U Finance)</t>
  </si>
  <si>
    <t>Главный займ (Колибри деньги)</t>
  </si>
  <si>
    <t>ГК Twino (Макро и Веритас)</t>
  </si>
  <si>
    <t>Монедо (бывш. Кредитех Рус)</t>
  </si>
  <si>
    <t>Стабильные финансы (Гринмани)</t>
  </si>
  <si>
    <t>ГК До зарплаты (ДЗП-Центр и Союз 5)</t>
  </si>
  <si>
    <t>7838500558, 7838031377</t>
  </si>
  <si>
    <t>3664223480, 6162070130, 6162073437</t>
  </si>
  <si>
    <t xml:space="preserve">*Портфель PDL-микрозаймов на балансе ООО "МКК СКОРОСТЬ ФИНАНС" - 1 288 млн руб. на 01.01.2021 и 949 млн руб. на 01.01.2020 (уточнённые данные), портфель PDL без NPL90+ составил 259 / 463 млн руб. соответственно (уточнённые данные). Портфель на балансе ООО «МИКРОКРЕДИТНАЯ КОМПАНИЯ УНИВЕРСАЛЬНОГО ФИНАНСИРОВАНИЯ» 1 841 млн руб. на 01.01.2021 и 1 276 млн руб. на 01.01.2020 соответственно, портфель без NPL90+ составил 494 / 421 млн руб. Портфель на балансе ООО "МФК НОВОЕ ФИНАНСИРОВАНИЕ" составил 272 / 0, без учёта NPL90+ составил 248 / 0 млн руб. Информация о портфеле на балансе ООО "МКК КАНГРИЯ" и ООО "МКК ЛЕБЕДЬ" не предоставлена, поскольку позиционируется как нематериальная. </t>
  </si>
  <si>
    <t>ГК Eqvanta (Быстроденьги и Турбозайм)***</t>
  </si>
  <si>
    <t>***Портфель PDL-микрозаймов на балансе ООО МФК "Быстроденьги" 1 409 млн руб. на 01.01.2021 и 972 млн руб. на 01.01.2020, портфель PDL без NPL90+ составил 631 / 705 млн руб. соответственно. Портфель на балансе ООО МКК "Турбозайм" - 542 млн руб. на 01.01.2021, портфель без NPL90+ составил 249 млн руб.</t>
  </si>
  <si>
    <t>Таблица 4. Рэнкинг МФО по объему выданных микрозаймов ФЛ «до зарплаты» (PDL) за 2020 год</t>
  </si>
  <si>
    <t>Объем выданных PDL-микрозаймов за 2020, млн руб.</t>
  </si>
  <si>
    <t>Объем выданных PDL-микрозаймов за 2019, млн руб.</t>
  </si>
  <si>
    <t>ГК Summit (Саммит и ДоброЗайм)</t>
  </si>
  <si>
    <t>Таблица 5. Рэнкинг МФО по портфелю потребительских микрозаймов ФЛ (IL) на 01.01.2021</t>
  </si>
  <si>
    <t>Портфель IL без NPL90+, млн руб.</t>
  </si>
  <si>
    <t>Портфель IL без NPL30+, млн руб.</t>
  </si>
  <si>
    <t>Доля онлайн в структуре PDL-выдач за 2пг2020, %</t>
  </si>
  <si>
    <t>Уровень одобрения по заявкам новых клиентов за 2пг2020</t>
  </si>
  <si>
    <t>Доля онлайн в структуре PDL-выдач за 2пг2019, %</t>
  </si>
  <si>
    <t>Уровень одобрения по заявкам новых клиентов за 2пг2019</t>
  </si>
  <si>
    <t>ГК Twino (Макро и Веритас)**</t>
  </si>
  <si>
    <t>**Портфель PDL-микрозаймов на балансе ООО МКК "Макро" 1 197 млн руб. на 01.01.2021 и 1 153 млн руб. на 01.01.2020. Портфель на балансе ООО МФК "Веритас" 1 220 млн руб. на 01.01.2021 и 1 342 млн руб. на 01.01.2020 соответственно, портфель без NPL90+ составил 3 / 1 млн руб.</t>
  </si>
  <si>
    <t>Таблица 6. Рэнкинг МФО по объему выданных потребительских микрозаймов ФЛ (IL) за 2020 год</t>
  </si>
  <si>
    <t>Объем выданных IL-микрозаймов за 2020, млн руб.</t>
  </si>
  <si>
    <t>Объем выданных IL-микрозаймов за 2019, млн руб.</t>
  </si>
  <si>
    <t>Доля онлайн в структуре IL-выдач за 2пг2020, %</t>
  </si>
  <si>
    <t>Доля онлайн в структуре IL-выдач за 2пг2019, %</t>
  </si>
  <si>
    <t>****Небольшая часть портфеля микрозаймов МФК "ВЭББАНКИР" по состоянию на 01.01.2021 была выдана на 31 день, что формально не классифицируется в ОМФД как PDL, однако по экономической сущности отнесено Агентством к микрозаймам "до зарплаты"</t>
  </si>
  <si>
    <t>*****Консолидированный портфель требований по PDL-микрозаймам в России 129 на 01.01.2021 и 323 млн рублей на 01.01.2020 соответственно. Портфель PDL-микрозаймов на балансе ООО МФК "САММИТ" 67 млн руб. на 01.01.2021 и 173 млн руб. на 01.01.2020, портфель PDL без NPL90+ составил 26 / 37 млн руб. соответственно. Портфель на балансе ООО МКК "ДоброЗайм Быстрое решение" 4 млн руб. на 01.01.2021 и 4 млн руб. на 01.01.2020 соответственно, портфель без NPL90+ составил 3 / 1 млн руб.</t>
  </si>
  <si>
    <t>ГК Summit (Саммит и ДоброЗайм)*****</t>
  </si>
  <si>
    <t>Webbankir****</t>
  </si>
  <si>
    <t xml:space="preserve">**Портфель IL-микрозаймов на балансе ООО "МКК СКОРОСТЬ ФИНАНС" - 895 млн руб. на 01.01.2021 и 376 млн руб. на 01.01.2020, без учёта NPL90+ составил 435 и 259 млн руб. соответственно. Портфель на балансе ООО «МИКРОКРЕДИТНАЯ КОМПАНИЯ УНИВЕРСАЛЬНОГО ФИНАНСИРОВАНИЯ» 323 млн руб. на 01.01.2021 и 62 млн руб. на 01.01.2020, без учёта NPL90+ составил 226 и 53 млн руб. соответственно. Портфель на балансе ООО "МФК НОВОЕ ФИНАНСИРОВАНИЕ" составил 105 / 48, без учёта NPL90+ составил 55 / 42 млн руб. Информация о портфеле на балансе ООО "МКК КАНГРИЯ" и ООО "МКК ЛЕБЕДЬ" не предоставлена, поскольку позиционируется как нематериальная. </t>
  </si>
  <si>
    <t>ГК Eqvanta (Быстроденьги и Турбозайм)*</t>
  </si>
  <si>
    <t>ГК Финбридж (бывш. Деньги сразу)**</t>
  </si>
  <si>
    <t>ГК Summit (Саммит и ДоброЗайм)***</t>
  </si>
  <si>
    <t>***Консолидированный портфель требований по IL-микрозаймам в России 1 681 на 01.01.2021 и 2 140 млн рублей на 01.01.2020 соответственно. Портфель IL-микрозаймов на балансе ООО МФК "САММИТ" 1 036 млн руб. на 01.01.2021 и 1 246 млн руб. на 01.01.2020, портфель IL без NPL90+ составил 409 / 645 млн руб. соответственно. Портфель на балансе ООО МКК "ДоброЗайм Быстрое решение" - 55 млн руб. на 01.01.2021 и 32 млн руб. на 01.01.2020 соответственно, портфель без NPL90+ составил 38 / 19 млн руб.</t>
  </si>
  <si>
    <t>*Портфель IL-микрозаймов на балансе ООО МФК "Быстроденьги" 1 178 млн руб. на 01.01.2021, портфель IL без NPL90+ составил 584 млн руб. соответственно. Портфель на балансе ООО МКК "Турбозайм" - 249 млн руб. на 01.01.2021, портфель без NPL90+ составил 153 млн руб. соответственно.</t>
  </si>
  <si>
    <t>Папа Финанс (группа МигКредит)</t>
  </si>
  <si>
    <t>Таблица 1. Рэнкинг МФО по общему размеру портфеля микрозаймов на 01.01.2021 (тело долга с учетом просроченной задолженности)</t>
  </si>
  <si>
    <t>Портфель микрозаймов 01.01.21, млн руб.</t>
  </si>
  <si>
    <t>Портфель микрозаймов 01.01.20, млн руб.</t>
  </si>
  <si>
    <t>ГК МигКредит (включая Папа Финанс)</t>
  </si>
  <si>
    <t>7715825027, 9701125685</t>
  </si>
  <si>
    <t>Таблица 2. Рэнкинг МФО по объему выданных микрозаймов за 2020 год</t>
  </si>
  <si>
    <t>Объем выданных микрозаймов за 2020, млн руб.</t>
  </si>
  <si>
    <t>Объем выданных микрозаймов за 2019, млн руб.</t>
  </si>
  <si>
    <t>Чистая прибыль за I полугодие 2019 года, млн руб.</t>
  </si>
  <si>
    <t>Чистая прибыль за I полугодие 2020 года, млн руб.</t>
  </si>
  <si>
    <t>Кировский областной фонд поддержки МСП</t>
  </si>
  <si>
    <t>Чистая прибыль за 2019 год, млн руб.</t>
  </si>
  <si>
    <t>Чистая прибыль за 2020 год, млн руб.</t>
  </si>
  <si>
    <t>Таблица 11. Топ-10 МФО по величине чистой прибыли за 2020 год</t>
  </si>
  <si>
    <t>Уровень одобрения по заявкам новых клиентов за 2пг2020, %</t>
  </si>
  <si>
    <t>Уровень одобрения по заявкам новых клиентов за 2пг2019,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</si>
</sst>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0.0%"/>
    <numFmt numFmtId="166" formatCode="0.0"/>
    <numFmt numFmtId="167" formatCode="_-* #,##0.00_р_._-;\-* #,##0.00_р_._-;_-* &quot;-&quot;??_р_._-;_-@_-"/>
    <numFmt numFmtId="168" formatCode="#,##0.0"/>
    <numFmt numFmtId="169" formatCode="0.000"/>
    <numFmt numFmtId="170" formatCode="_-* #,##0\ _₽_-;\-* #,##0\ _₽_-;_-* &quot;-&quot;??\ _₽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8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7" fontId="9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197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1" fontId="0" fillId="0" borderId="0" xfId="0" applyNumberFormat="1"/>
    <xf numFmtId="0" fontId="0" fillId="0" borderId="0" xfId="0" applyFill="1"/>
    <xf numFmtId="0" fontId="0" fillId="0" borderId="0" xfId="0" applyFill="1" applyBorder="1"/>
    <xf numFmtId="166" fontId="0" fillId="0" borderId="0" xfId="0" applyNumberFormat="1"/>
    <xf numFmtId="0" fontId="5" fillId="0" borderId="0" xfId="0" applyFont="1"/>
    <xf numFmtId="3" fontId="11" fillId="0" borderId="0" xfId="0" applyNumberFormat="1" applyFont="1" applyBorder="1" applyAlignment="1" applyProtection="1">
      <protection locked="0"/>
    </xf>
    <xf numFmtId="3" fontId="11" fillId="0" borderId="0" xfId="0" applyNumberFormat="1" applyFont="1" applyBorder="1" applyAlignment="1" applyProtection="1">
      <alignment wrapText="1"/>
      <protection locked="0"/>
    </xf>
    <xf numFmtId="1" fontId="11" fillId="0" borderId="0" xfId="0" applyNumberFormat="1" applyFont="1" applyBorder="1" applyAlignment="1" applyProtection="1">
      <alignment textRotation="1"/>
      <protection locked="0"/>
    </xf>
    <xf numFmtId="14" fontId="5" fillId="0" borderId="0" xfId="0" applyNumberFormat="1" applyFont="1" applyAlignment="1">
      <alignment horizontal="center"/>
    </xf>
    <xf numFmtId="14" fontId="11" fillId="0" borderId="0" xfId="0" applyNumberFormat="1" applyFont="1" applyBorder="1" applyAlignment="1" applyProtection="1">
      <alignment horizontal="center"/>
      <protection locked="0"/>
    </xf>
    <xf numFmtId="14" fontId="11" fillId="0" borderId="0" xfId="0" applyNumberFormat="1" applyFont="1" applyBorder="1" applyAlignment="1" applyProtection="1">
      <alignment horizontal="center" wrapText="1"/>
      <protection locked="0"/>
    </xf>
    <xf numFmtId="166" fontId="5" fillId="0" borderId="0" xfId="0" applyNumberFormat="1" applyFont="1" applyBorder="1"/>
    <xf numFmtId="166" fontId="5" fillId="0" borderId="5" xfId="0" applyNumberFormat="1" applyFont="1" applyBorder="1"/>
    <xf numFmtId="166" fontId="10" fillId="0" borderId="0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5" fillId="0" borderId="3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/>
    <xf numFmtId="0" fontId="0" fillId="0" borderId="9" xfId="0" applyFill="1" applyBorder="1"/>
    <xf numFmtId="0" fontId="0" fillId="0" borderId="6" xfId="0" applyBorder="1"/>
    <xf numFmtId="166" fontId="0" fillId="0" borderId="6" xfId="0" applyNumberFormat="1" applyBorder="1"/>
    <xf numFmtId="166" fontId="0" fillId="0" borderId="7" xfId="0" applyNumberFormat="1" applyBorder="1"/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66" fontId="10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14" fontId="0" fillId="2" borderId="0" xfId="0" applyNumberForma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horizontal="left" vertical="center"/>
    </xf>
    <xf numFmtId="0" fontId="10" fillId="0" borderId="1" xfId="1" applyFont="1" applyBorder="1" applyAlignment="1">
      <alignment horizontal="center" vertical="center" wrapText="1"/>
    </xf>
    <xf numFmtId="14" fontId="0" fillId="2" borderId="0" xfId="0" applyNumberFormat="1" applyFill="1" applyAlignment="1">
      <alignment horizontal="center"/>
    </xf>
    <xf numFmtId="0" fontId="4" fillId="0" borderId="0" xfId="0" applyFont="1" applyBorder="1" applyAlignment="1"/>
    <xf numFmtId="0" fontId="0" fillId="0" borderId="12" xfId="0" applyFill="1" applyBorder="1"/>
    <xf numFmtId="0" fontId="10" fillId="0" borderId="1" xfId="0" applyFont="1" applyBorder="1" applyAlignment="1">
      <alignment vertical="center" wrapText="1"/>
    </xf>
    <xf numFmtId="2" fontId="0" fillId="0" borderId="0" xfId="0" applyNumberFormat="1"/>
    <xf numFmtId="0" fontId="0" fillId="0" borderId="0" xfId="0"/>
    <xf numFmtId="168" fontId="0" fillId="0" borderId="0" xfId="0" applyNumberFormat="1"/>
    <xf numFmtId="0" fontId="13" fillId="0" borderId="0" xfId="0" applyFont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0" fontId="13" fillId="0" borderId="1" xfId="0" applyFont="1" applyBorder="1" applyAlignment="1">
      <alignment horizontal="center" vertical="center" wrapText="1"/>
    </xf>
    <xf numFmtId="168" fontId="13" fillId="0" borderId="1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indent="1"/>
    </xf>
    <xf numFmtId="168" fontId="0" fillId="0" borderId="1" xfId="0" applyNumberFormat="1" applyBorder="1" applyAlignment="1">
      <alignment horizontal="right" indent="2"/>
    </xf>
    <xf numFmtId="166" fontId="0" fillId="0" borderId="1" xfId="0" applyNumberFormat="1" applyBorder="1" applyAlignment="1">
      <alignment horizontal="right" indent="2"/>
    </xf>
    <xf numFmtId="0" fontId="0" fillId="0" borderId="0" xfId="0" applyAlignment="1">
      <alignment horizontal="right" indent="2"/>
    </xf>
    <xf numFmtId="1" fontId="0" fillId="0" borderId="1" xfId="0" applyNumberFormat="1" applyBorder="1" applyAlignment="1">
      <alignment horizontal="right" indent="2"/>
    </xf>
    <xf numFmtId="0" fontId="10" fillId="0" borderId="9" xfId="0" applyFont="1" applyBorder="1" applyAlignment="1">
      <alignment horizontal="right" vertical="center" wrapText="1" indent="2"/>
    </xf>
    <xf numFmtId="0" fontId="10" fillId="0" borderId="7" xfId="0" applyFont="1" applyBorder="1" applyAlignment="1">
      <alignment horizontal="right" vertical="center" wrapText="1" indent="2"/>
    </xf>
    <xf numFmtId="0" fontId="14" fillId="0" borderId="1" xfId="0" applyFont="1" applyBorder="1" applyAlignment="1">
      <alignment horizontal="center" vertical="center"/>
    </xf>
    <xf numFmtId="168" fontId="0" fillId="0" borderId="1" xfId="0" applyNumberFormat="1" applyFill="1" applyBorder="1" applyAlignment="1">
      <alignment horizontal="right" indent="2"/>
    </xf>
    <xf numFmtId="168" fontId="0" fillId="0" borderId="0" xfId="0" applyNumberFormat="1" applyAlignment="1">
      <alignment horizontal="right" indent="2"/>
    </xf>
    <xf numFmtId="3" fontId="11" fillId="2" borderId="0" xfId="0" applyNumberFormat="1" applyFont="1" applyFill="1" applyBorder="1" applyAlignment="1" applyProtection="1">
      <protection locked="0"/>
    </xf>
    <xf numFmtId="166" fontId="5" fillId="2" borderId="0" xfId="0" applyNumberFormat="1" applyFont="1" applyFill="1" applyBorder="1"/>
    <xf numFmtId="166" fontId="5" fillId="2" borderId="5" xfId="0" applyNumberFormat="1" applyFont="1" applyFill="1" applyBorder="1"/>
    <xf numFmtId="0" fontId="5" fillId="2" borderId="0" xfId="0" applyFont="1" applyFill="1"/>
    <xf numFmtId="166" fontId="5" fillId="3" borderId="5" xfId="0" applyNumberFormat="1" applyFont="1" applyFill="1" applyBorder="1"/>
    <xf numFmtId="0" fontId="0" fillId="0" borderId="1" xfId="0" applyFill="1" applyBorder="1" applyAlignment="1">
      <alignment horizontal="left" indent="1"/>
    </xf>
    <xf numFmtId="1" fontId="0" fillId="0" borderId="1" xfId="0" applyNumberFormat="1" applyFill="1" applyBorder="1" applyAlignment="1">
      <alignment horizontal="right" indent="2"/>
    </xf>
    <xf numFmtId="1" fontId="0" fillId="0" borderId="0" xfId="0" applyNumberFormat="1" applyFill="1"/>
    <xf numFmtId="0" fontId="3" fillId="0" borderId="0" xfId="0" applyFont="1" applyBorder="1" applyAlignment="1"/>
    <xf numFmtId="4" fontId="0" fillId="0" borderId="0" xfId="0" applyNumberFormat="1"/>
    <xf numFmtId="0" fontId="10" fillId="0" borderId="4" xfId="0" applyFont="1" applyBorder="1" applyAlignment="1">
      <alignment horizontal="right" vertical="center" wrapText="1" indent="2"/>
    </xf>
    <xf numFmtId="0" fontId="10" fillId="0" borderId="1" xfId="0" applyFont="1" applyBorder="1" applyAlignment="1">
      <alignment horizontal="right" vertical="center" wrapText="1" indent="2"/>
    </xf>
    <xf numFmtId="165" fontId="0" fillId="0" borderId="1" xfId="0" applyNumberFormat="1" applyBorder="1" applyAlignment="1">
      <alignment horizontal="right" indent="2"/>
    </xf>
    <xf numFmtId="165" fontId="5" fillId="0" borderId="0" xfId="0" applyNumberFormat="1" applyFont="1"/>
    <xf numFmtId="0" fontId="0" fillId="4" borderId="1" xfId="0" applyFill="1" applyBorder="1" applyAlignment="1">
      <alignment horizontal="left" indent="1"/>
    </xf>
    <xf numFmtId="166" fontId="0" fillId="4" borderId="1" xfId="0" applyNumberFormat="1" applyFill="1" applyBorder="1" applyAlignment="1">
      <alignment horizontal="right" indent="2"/>
    </xf>
    <xf numFmtId="165" fontId="0" fillId="4" borderId="1" xfId="0" applyNumberFormat="1" applyFill="1" applyBorder="1" applyAlignment="1">
      <alignment horizontal="right" indent="2"/>
    </xf>
    <xf numFmtId="3" fontId="0" fillId="0" borderId="0" xfId="0" applyNumberFormat="1"/>
    <xf numFmtId="10" fontId="0" fillId="0" borderId="0" xfId="0" applyNumberFormat="1"/>
    <xf numFmtId="0" fontId="0" fillId="7" borderId="0" xfId="0" applyFill="1"/>
    <xf numFmtId="2" fontId="0" fillId="5" borderId="0" xfId="0" applyNumberFormat="1" applyFill="1"/>
    <xf numFmtId="2" fontId="0" fillId="6" borderId="0" xfId="0" applyNumberFormat="1" applyFill="1"/>
    <xf numFmtId="14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65" fontId="0" fillId="7" borderId="0" xfId="0" applyNumberFormat="1" applyFill="1"/>
    <xf numFmtId="0" fontId="0" fillId="8" borderId="1" xfId="0" applyFill="1" applyBorder="1" applyAlignment="1">
      <alignment horizontal="left" indent="1"/>
    </xf>
    <xf numFmtId="166" fontId="0" fillId="8" borderId="1" xfId="0" applyNumberFormat="1" applyFill="1" applyBorder="1" applyAlignment="1">
      <alignment horizontal="right" indent="2"/>
    </xf>
    <xf numFmtId="165" fontId="0" fillId="8" borderId="1" xfId="0" applyNumberFormat="1" applyFill="1" applyBorder="1" applyAlignment="1">
      <alignment horizontal="right" indent="2"/>
    </xf>
    <xf numFmtId="10" fontId="0" fillId="9" borderId="0" xfId="0" applyNumberFormat="1" applyFill="1"/>
    <xf numFmtId="168" fontId="0" fillId="0" borderId="0" xfId="0" applyNumberFormat="1" applyFill="1"/>
    <xf numFmtId="0" fontId="12" fillId="0" borderId="0" xfId="0" applyFont="1" applyFill="1" applyAlignment="1">
      <alignment horizontal="left"/>
    </xf>
    <xf numFmtId="10" fontId="0" fillId="5" borderId="0" xfId="0" applyNumberFormat="1" applyFill="1" applyAlignment="1">
      <alignment horizontal="right" indent="2"/>
    </xf>
    <xf numFmtId="10" fontId="0" fillId="5" borderId="0" xfId="0" applyNumberFormat="1" applyFill="1"/>
    <xf numFmtId="10" fontId="15" fillId="7" borderId="0" xfId="0" applyNumberFormat="1" applyFont="1" applyFill="1"/>
    <xf numFmtId="9" fontId="0" fillId="2" borderId="0" xfId="0" applyNumberFormat="1" applyFill="1"/>
    <xf numFmtId="10" fontId="0" fillId="0" borderId="0" xfId="0" applyNumberFormat="1" applyAlignment="1">
      <alignment horizontal="right" indent="2"/>
    </xf>
    <xf numFmtId="0" fontId="0" fillId="0" borderId="0" xfId="0" applyAlignment="1">
      <alignment horizontal="left" indent="2"/>
    </xf>
    <xf numFmtId="14" fontId="5" fillId="0" borderId="0" xfId="0" applyNumberFormat="1" applyFont="1" applyAlignment="1">
      <alignment horizontal="left" indent="2"/>
    </xf>
    <xf numFmtId="1" fontId="0" fillId="0" borderId="0" xfId="0" applyNumberFormat="1" applyAlignment="1">
      <alignment horizontal="left" indent="2"/>
    </xf>
    <xf numFmtId="169" fontId="5" fillId="0" borderId="5" xfId="0" applyNumberFormat="1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right" vertical="center" wrapText="1" indent="2"/>
    </xf>
    <xf numFmtId="166" fontId="5" fillId="0" borderId="0" xfId="0" applyNumberFormat="1" applyFont="1" applyFill="1" applyBorder="1"/>
    <xf numFmtId="166" fontId="5" fillId="0" borderId="5" xfId="0" applyNumberFormat="1" applyFont="1" applyFill="1" applyBorder="1"/>
    <xf numFmtId="0" fontId="5" fillId="0" borderId="0" xfId="0" applyFont="1" applyFill="1"/>
    <xf numFmtId="0" fontId="5" fillId="0" borderId="3" xfId="0" applyFont="1" applyFill="1" applyBorder="1"/>
    <xf numFmtId="1" fontId="11" fillId="0" borderId="0" xfId="0" applyNumberFormat="1" applyFont="1" applyFill="1" applyBorder="1" applyAlignment="1" applyProtection="1">
      <alignment textRotation="1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indent="1"/>
    </xf>
    <xf numFmtId="3" fontId="11" fillId="0" borderId="0" xfId="0" applyNumberFormat="1" applyFont="1" applyFill="1" applyBorder="1" applyAlignment="1" applyProtection="1">
      <alignment wrapText="1"/>
      <protection locked="0"/>
    </xf>
    <xf numFmtId="165" fontId="0" fillId="0" borderId="0" xfId="0" applyNumberFormat="1" applyFill="1"/>
    <xf numFmtId="165" fontId="0" fillId="9" borderId="0" xfId="0" applyNumberFormat="1" applyFill="1"/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center"/>
    </xf>
    <xf numFmtId="3" fontId="11" fillId="0" borderId="0" xfId="0" applyNumberFormat="1" applyFont="1" applyFill="1" applyBorder="1" applyAlignment="1" applyProtection="1">
      <protection locked="0"/>
    </xf>
    <xf numFmtId="3" fontId="0" fillId="0" borderId="1" xfId="0" applyNumberFormat="1" applyBorder="1" applyAlignment="1">
      <alignment horizontal="right" indent="2"/>
    </xf>
    <xf numFmtId="3" fontId="0" fillId="0" borderId="1" xfId="0" applyNumberFormat="1" applyFill="1" applyBorder="1" applyAlignment="1">
      <alignment horizontal="right" indent="2"/>
    </xf>
    <xf numFmtId="1" fontId="0" fillId="0" borderId="0" xfId="0" applyNumberFormat="1" applyAlignment="1">
      <alignment horizontal="right" indent="2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168" fontId="0" fillId="0" borderId="1" xfId="0" applyNumberFormat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0" fontId="10" fillId="0" borderId="1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70" fontId="0" fillId="0" borderId="1" xfId="15" applyNumberFormat="1" applyFont="1" applyBorder="1" applyAlignment="1">
      <alignment horizontal="right" indent="2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right" indent="2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horizontal="left" vertic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right" indent="2"/>
    </xf>
    <xf numFmtId="0" fontId="0" fillId="0" borderId="0" xfId="0" applyBorder="1"/>
    <xf numFmtId="0" fontId="0" fillId="0" borderId="0" xfId="0" applyBorder="1" applyAlignment="1">
      <alignment horizontal="right" indent="2"/>
    </xf>
    <xf numFmtId="0" fontId="0" fillId="0" borderId="0" xfId="0" applyFill="1" applyAlignment="1">
      <alignment horizontal="left"/>
    </xf>
    <xf numFmtId="170" fontId="0" fillId="0" borderId="1" xfId="15" applyNumberFormat="1" applyFont="1" applyBorder="1" applyAlignment="1">
      <alignment horizontal="left"/>
    </xf>
    <xf numFmtId="170" fontId="0" fillId="0" borderId="1" xfId="15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right"/>
    </xf>
    <xf numFmtId="0" fontId="2" fillId="0" borderId="0" xfId="1" applyFont="1"/>
    <xf numFmtId="0" fontId="16" fillId="0" borderId="0" xfId="0" applyFont="1" applyAlignment="1">
      <alignment horizontal="left"/>
    </xf>
    <xf numFmtId="0" fontId="16" fillId="0" borderId="0" xfId="0" applyFont="1"/>
    <xf numFmtId="0" fontId="0" fillId="0" borderId="0" xfId="0" applyBorder="1" applyAlignment="1"/>
    <xf numFmtId="168" fontId="0" fillId="0" borderId="0" xfId="0" applyNumberFormat="1" applyBorder="1" applyAlignment="1">
      <alignment horizontal="right"/>
    </xf>
    <xf numFmtId="0" fontId="0" fillId="0" borderId="0" xfId="0" applyFill="1" applyBorder="1" applyAlignment="1">
      <alignment horizontal="left"/>
    </xf>
    <xf numFmtId="3" fontId="0" fillId="0" borderId="0" xfId="0" applyNumberFormat="1" applyFill="1" applyBorder="1" applyAlignment="1">
      <alignment horizontal="left"/>
    </xf>
    <xf numFmtId="0" fontId="13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Fill="1" applyBorder="1"/>
    <xf numFmtId="1" fontId="0" fillId="0" borderId="1" xfId="0" applyNumberFormat="1" applyBorder="1" applyAlignment="1"/>
    <xf numFmtId="0" fontId="1" fillId="0" borderId="0" xfId="10" applyFont="1"/>
    <xf numFmtId="0" fontId="0" fillId="0" borderId="0" xfId="0" applyAlignment="1">
      <alignment horizontal="left" vertical="top"/>
    </xf>
    <xf numFmtId="3" fontId="0" fillId="0" borderId="0" xfId="0" applyNumberFormat="1" applyFill="1" applyBorder="1" applyAlignment="1">
      <alignment horizontal="right" indent="2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right"/>
    </xf>
    <xf numFmtId="0" fontId="0" fillId="0" borderId="1" xfId="0" applyBorder="1" applyAlignment="1">
      <alignment vertical="center"/>
    </xf>
    <xf numFmtId="170" fontId="0" fillId="0" borderId="0" xfId="15" applyNumberFormat="1" applyFont="1" applyFill="1"/>
    <xf numFmtId="168" fontId="0" fillId="0" borderId="1" xfId="0" applyNumberFormat="1" applyFill="1" applyBorder="1" applyAlignment="1">
      <alignment horizontal="right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 indent="2"/>
    </xf>
    <xf numFmtId="0" fontId="10" fillId="0" borderId="2" xfId="0" applyFont="1" applyBorder="1" applyAlignment="1">
      <alignment horizontal="right" vertical="center" wrapText="1" indent="2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/>
    </xf>
    <xf numFmtId="3" fontId="13" fillId="0" borderId="11" xfId="0" applyNumberFormat="1" applyFont="1" applyBorder="1" applyAlignment="1">
      <alignment horizontal="center"/>
    </xf>
    <xf numFmtId="3" fontId="13" fillId="0" borderId="8" xfId="0" applyNumberFormat="1" applyFont="1" applyBorder="1" applyAlignment="1">
      <alignment horizontal="center"/>
    </xf>
    <xf numFmtId="14" fontId="0" fillId="9" borderId="13" xfId="0" applyNumberFormat="1" applyFill="1" applyBorder="1" applyAlignment="1">
      <alignment horizontal="center"/>
    </xf>
    <xf numFmtId="14" fontId="0" fillId="8" borderId="13" xfId="0" applyNumberFormat="1" applyFill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14" fontId="0" fillId="2" borderId="0" xfId="0" applyNumberFormat="1" applyFill="1" applyAlignment="1">
      <alignment horizontal="center"/>
    </xf>
    <xf numFmtId="14" fontId="0" fillId="5" borderId="13" xfId="0" applyNumberFormat="1" applyFill="1" applyBorder="1" applyAlignment="1">
      <alignment horizontal="center"/>
    </xf>
  </cellXfs>
  <cellStyles count="16">
    <cellStyle name="Обычный" xfId="0" builtinId="0"/>
    <cellStyle name="Обычный 2" xfId="3" xr:uid="{CB76DE07-0DAD-4C3E-9922-2CE8B32C7A30}"/>
    <cellStyle name="Обычный 2 2" xfId="1" xr:uid="{FC407337-60BA-4F17-B49C-45C48DB50484}"/>
    <cellStyle name="Обычный 2 2 2" xfId="2" xr:uid="{577DA2BD-A8B0-4D07-9D54-3A3124422337}"/>
    <cellStyle name="Обычный 2 2 2 2" xfId="10" xr:uid="{BE56A7B1-A356-47CC-B58F-8A96148DD407}"/>
    <cellStyle name="Обычный 2 2 2 3" xfId="13" xr:uid="{804C099B-2CE3-4A20-AEB4-FA072ED370CD}"/>
    <cellStyle name="Обычный 2 2 3" xfId="12" xr:uid="{CEFF66D1-0950-454D-A213-154534020D58}"/>
    <cellStyle name="Обычный 2 3" xfId="6" xr:uid="{B57CC685-BDDB-4197-A827-302AE7663379}"/>
    <cellStyle name="Обычный 2 4" xfId="8" xr:uid="{A7676839-0EFE-4230-8207-62970A8474BB}"/>
    <cellStyle name="Процентный 2" xfId="4" xr:uid="{4DC5E418-57D7-45D1-9BC6-ED6A38DA8392}"/>
    <cellStyle name="Финансовый" xfId="15" builtinId="3"/>
    <cellStyle name="Финансовый 2" xfId="5" xr:uid="{3F76784B-7434-4422-A4D7-91512F027F49}"/>
    <cellStyle name="Финансовый 2 2" xfId="9" xr:uid="{6BEAE9CE-75F5-4CE9-9553-103EBAEC185A}"/>
    <cellStyle name="Финансовый 2 2 2" xfId="7" xr:uid="{3EABB032-039F-446C-AA84-76C1006938EB}"/>
    <cellStyle name="Финансовый 2 2 3" xfId="14" xr:uid="{A44C6BA3-D627-4170-83E7-08DB5E020FDD}"/>
    <cellStyle name="Финансовый 3" xfId="11" xr:uid="{57A96175-43E9-4A0C-B1DC-F755245B5F9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3DChart>
        <c:wireframe val="1"/>
        <c:ser>
          <c:idx val="0"/>
          <c:order val="0"/>
          <c:tx>
            <c:strRef>
              <c:f>Расчет!$C$23</c:f>
              <c:strCache>
                <c:ptCount val="1"/>
                <c:pt idx="0">
                  <c:v>5,0%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cat>
            <c:numRef>
              <c:f>Расчет!$D$22:$M$22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Расчет!$D$23:$M$23</c:f>
              <c:numCache>
                <c:formatCode>0.0%</c:formatCode>
                <c:ptCount val="10"/>
                <c:pt idx="0">
                  <c:v>4.7619047619047616E-2</c:v>
                </c:pt>
                <c:pt idx="1">
                  <c:v>4.5454545454545456E-2</c:v>
                </c:pt>
                <c:pt idx="2">
                  <c:v>4.3478260869565216E-2</c:v>
                </c:pt>
                <c:pt idx="3">
                  <c:v>4.1666666666666664E-2</c:v>
                </c:pt>
                <c:pt idx="4">
                  <c:v>0.04</c:v>
                </c:pt>
                <c:pt idx="5">
                  <c:v>3.8461538461538464E-2</c:v>
                </c:pt>
                <c:pt idx="6">
                  <c:v>3.7037037037037035E-2</c:v>
                </c:pt>
                <c:pt idx="7">
                  <c:v>3.5714285714285712E-2</c:v>
                </c:pt>
                <c:pt idx="8">
                  <c:v>3.4482758620689655E-2</c:v>
                </c:pt>
                <c:pt idx="9">
                  <c:v>3.3333333333333333E-2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C-49B8-8F10-CDD84D11A21E}"/>
            </c:ext>
          </c:extLst>
        </c:ser>
        <c:ser>
          <c:idx val="1"/>
          <c:order val="1"/>
          <c:tx>
            <c:strRef>
              <c:f>Расчет!$C$24</c:f>
              <c:strCache>
                <c:ptCount val="1"/>
                <c:pt idx="0">
                  <c:v>10,0%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cat>
            <c:numRef>
              <c:f>Расчет!$D$22:$M$22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Расчет!$D$24:$M$24</c:f>
              <c:numCache>
                <c:formatCode>0.0%</c:formatCode>
                <c:ptCount val="10"/>
                <c:pt idx="0">
                  <c:v>9.0909090909090912E-2</c:v>
                </c:pt>
                <c:pt idx="1">
                  <c:v>8.3333333333333329E-2</c:v>
                </c:pt>
                <c:pt idx="2">
                  <c:v>7.6923076923076927E-2</c:v>
                </c:pt>
                <c:pt idx="3">
                  <c:v>7.1428571428571425E-2</c:v>
                </c:pt>
                <c:pt idx="4">
                  <c:v>6.6666666666666666E-2</c:v>
                </c:pt>
                <c:pt idx="5">
                  <c:v>6.25E-2</c:v>
                </c:pt>
                <c:pt idx="6">
                  <c:v>5.8823529411764705E-2</c:v>
                </c:pt>
                <c:pt idx="7">
                  <c:v>5.5555555555555552E-2</c:v>
                </c:pt>
                <c:pt idx="8">
                  <c:v>5.2631578947368418E-2</c:v>
                </c:pt>
                <c:pt idx="9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C-49B8-8F10-CDD84D11A21E}"/>
            </c:ext>
          </c:extLst>
        </c:ser>
        <c:ser>
          <c:idx val="2"/>
          <c:order val="2"/>
          <c:tx>
            <c:strRef>
              <c:f>Расчет!$C$25</c:f>
              <c:strCache>
                <c:ptCount val="1"/>
                <c:pt idx="0">
                  <c:v>15,0%</c:v>
                </c:pt>
              </c:strCache>
            </c:strRef>
          </c:tx>
          <c:spPr>
            <a:ln w="9525" cap="rnd">
              <a:solidFill>
                <a:schemeClr val="accent3"/>
              </a:solidFill>
              <a:round/>
            </a:ln>
            <a:effectLst/>
          </c:spPr>
          <c:cat>
            <c:numRef>
              <c:f>Расчет!$D$22:$M$22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Расчет!$D$25:$M$25</c:f>
              <c:numCache>
                <c:formatCode>0.0%</c:formatCode>
                <c:ptCount val="10"/>
                <c:pt idx="0">
                  <c:v>0.13043478260869565</c:v>
                </c:pt>
                <c:pt idx="1">
                  <c:v>0.11538461538461539</c:v>
                </c:pt>
                <c:pt idx="2">
                  <c:v>0.10344827586206898</c:v>
                </c:pt>
                <c:pt idx="3">
                  <c:v>9.375E-2</c:v>
                </c:pt>
                <c:pt idx="4">
                  <c:v>8.5714285714285715E-2</c:v>
                </c:pt>
                <c:pt idx="5">
                  <c:v>7.8947368421052641E-2</c:v>
                </c:pt>
                <c:pt idx="6">
                  <c:v>7.3170731707317083E-2</c:v>
                </c:pt>
                <c:pt idx="7">
                  <c:v>6.8181818181818191E-2</c:v>
                </c:pt>
                <c:pt idx="8">
                  <c:v>6.3829787234042562E-2</c:v>
                </c:pt>
                <c:pt idx="9">
                  <c:v>6.0000000000000012E-2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4C-49B8-8F10-CDD84D11A21E}"/>
            </c:ext>
          </c:extLst>
        </c:ser>
        <c:ser>
          <c:idx val="3"/>
          <c:order val="3"/>
          <c:tx>
            <c:strRef>
              <c:f>Расчет!$C$26</c:f>
              <c:strCache>
                <c:ptCount val="1"/>
                <c:pt idx="0">
                  <c:v>20,0%</c:v>
                </c:pt>
              </c:strCache>
            </c:strRef>
          </c:tx>
          <c:spPr>
            <a:ln w="9525" cap="rnd">
              <a:solidFill>
                <a:schemeClr val="accent4"/>
              </a:solidFill>
              <a:round/>
            </a:ln>
            <a:effectLst/>
          </c:spPr>
          <c:cat>
            <c:numRef>
              <c:f>Расчет!$D$22:$M$22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Расчет!$D$26:$M$26</c:f>
              <c:numCache>
                <c:formatCode>0.0%</c:formatCode>
                <c:ptCount val="10"/>
                <c:pt idx="0">
                  <c:v>0.16666666666666666</c:v>
                </c:pt>
                <c:pt idx="1">
                  <c:v>0.14285714285714285</c:v>
                </c:pt>
                <c:pt idx="2">
                  <c:v>0.125</c:v>
                </c:pt>
                <c:pt idx="3">
                  <c:v>0.1111111111111111</c:v>
                </c:pt>
                <c:pt idx="4">
                  <c:v>0.1</c:v>
                </c:pt>
                <c:pt idx="5">
                  <c:v>9.0909090909090912E-2</c:v>
                </c:pt>
                <c:pt idx="6">
                  <c:v>8.3333333333333329E-2</c:v>
                </c:pt>
                <c:pt idx="7">
                  <c:v>7.6923076923076927E-2</c:v>
                </c:pt>
                <c:pt idx="8">
                  <c:v>7.1428571428571425E-2</c:v>
                </c:pt>
                <c:pt idx="9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C-49B8-8F10-CDD84D11A21E}"/>
            </c:ext>
          </c:extLst>
        </c:ser>
        <c:ser>
          <c:idx val="4"/>
          <c:order val="4"/>
          <c:tx>
            <c:strRef>
              <c:f>Расчет!$C$27</c:f>
              <c:strCache>
                <c:ptCount val="1"/>
                <c:pt idx="0">
                  <c:v>25,0%</c:v>
                </c:pt>
              </c:strCache>
            </c:strRef>
          </c:tx>
          <c:spPr>
            <a:ln w="9525" cap="rnd">
              <a:solidFill>
                <a:schemeClr val="accent5"/>
              </a:solidFill>
              <a:round/>
            </a:ln>
            <a:effectLst/>
          </c:spPr>
          <c:cat>
            <c:numRef>
              <c:f>Расчет!$D$22:$M$22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Расчет!$D$27:$M$27</c:f>
              <c:numCache>
                <c:formatCode>0.0%</c:formatCode>
                <c:ptCount val="10"/>
                <c:pt idx="0">
                  <c:v>0.2</c:v>
                </c:pt>
                <c:pt idx="1">
                  <c:v>0.16666666666666666</c:v>
                </c:pt>
                <c:pt idx="2">
                  <c:v>0.14285714285714285</c:v>
                </c:pt>
                <c:pt idx="3">
                  <c:v>0.125</c:v>
                </c:pt>
                <c:pt idx="4">
                  <c:v>0.1111111111111111</c:v>
                </c:pt>
                <c:pt idx="5">
                  <c:v>0.1</c:v>
                </c:pt>
                <c:pt idx="6">
                  <c:v>9.0909090909090912E-2</c:v>
                </c:pt>
                <c:pt idx="7">
                  <c:v>8.3333333333333329E-2</c:v>
                </c:pt>
                <c:pt idx="8">
                  <c:v>7.6923076923076927E-2</c:v>
                </c:pt>
                <c:pt idx="9">
                  <c:v>7.1428571428571425E-2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4C-49B8-8F10-CDD84D11A21E}"/>
            </c:ext>
          </c:extLst>
        </c:ser>
        <c:ser>
          <c:idx val="5"/>
          <c:order val="5"/>
          <c:tx>
            <c:strRef>
              <c:f>Расчет!$C$28</c:f>
              <c:strCache>
                <c:ptCount val="1"/>
                <c:pt idx="0">
                  <c:v>30,0%</c:v>
                </c:pt>
              </c:strCache>
            </c:strRef>
          </c:tx>
          <c:spPr>
            <a:ln w="9525" cap="rnd">
              <a:solidFill>
                <a:schemeClr val="accent6"/>
              </a:solidFill>
              <a:round/>
            </a:ln>
            <a:effectLst/>
          </c:spPr>
          <c:cat>
            <c:numRef>
              <c:f>Расчет!$D$22:$M$22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Расчет!$D$28:$M$28</c:f>
              <c:numCache>
                <c:formatCode>0.0%</c:formatCode>
                <c:ptCount val="10"/>
                <c:pt idx="0">
                  <c:v>0.23076923076923073</c:v>
                </c:pt>
                <c:pt idx="1">
                  <c:v>0.18749999999999997</c:v>
                </c:pt>
                <c:pt idx="2">
                  <c:v>0.15789473684210525</c:v>
                </c:pt>
                <c:pt idx="3">
                  <c:v>0.13636363636363635</c:v>
                </c:pt>
                <c:pt idx="4">
                  <c:v>0.12</c:v>
                </c:pt>
                <c:pt idx="5">
                  <c:v>0.10714285714285714</c:v>
                </c:pt>
                <c:pt idx="6">
                  <c:v>9.6774193548387094E-2</c:v>
                </c:pt>
                <c:pt idx="7">
                  <c:v>8.8235294117647051E-2</c:v>
                </c:pt>
                <c:pt idx="8">
                  <c:v>8.1081081081081072E-2</c:v>
                </c:pt>
                <c:pt idx="9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4C-49B8-8F10-CDD84D11A21E}"/>
            </c:ext>
          </c:extLst>
        </c:ser>
        <c:ser>
          <c:idx val="6"/>
          <c:order val="6"/>
          <c:tx>
            <c:strRef>
              <c:f>Расчет!$C$29</c:f>
              <c:strCache>
                <c:ptCount val="1"/>
                <c:pt idx="0">
                  <c:v>35,0%</c:v>
                </c:pt>
              </c:strCache>
            </c:strRef>
          </c:tx>
          <c:spPr>
            <a:ln w="95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cat>
            <c:numRef>
              <c:f>Расчет!$D$22:$M$22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Расчет!$D$29:$M$29</c:f>
              <c:numCache>
                <c:formatCode>0.0%</c:formatCode>
                <c:ptCount val="10"/>
                <c:pt idx="0">
                  <c:v>0.25925925925925924</c:v>
                </c:pt>
                <c:pt idx="1">
                  <c:v>0.20588235294117646</c:v>
                </c:pt>
                <c:pt idx="2">
                  <c:v>0.17073170731707316</c:v>
                </c:pt>
                <c:pt idx="3">
                  <c:v>0.14583333333333331</c:v>
                </c:pt>
                <c:pt idx="4">
                  <c:v>0.12727272727272726</c:v>
                </c:pt>
                <c:pt idx="5">
                  <c:v>0.11290322580645161</c:v>
                </c:pt>
                <c:pt idx="6">
                  <c:v>0.10144927536231883</c:v>
                </c:pt>
                <c:pt idx="7">
                  <c:v>9.2105263157894732E-2</c:v>
                </c:pt>
                <c:pt idx="8">
                  <c:v>8.4337349397590355E-2</c:v>
                </c:pt>
                <c:pt idx="9">
                  <c:v>7.7777777777777779E-2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4C-49B8-8F10-CDD84D11A21E}"/>
            </c:ext>
          </c:extLst>
        </c:ser>
        <c:ser>
          <c:idx val="7"/>
          <c:order val="7"/>
          <c:tx>
            <c:strRef>
              <c:f>Расчет!$C$30</c:f>
              <c:strCache>
                <c:ptCount val="1"/>
                <c:pt idx="0">
                  <c:v>40,0%</c:v>
                </c:pt>
              </c:strCache>
            </c:strRef>
          </c:tx>
          <c:spPr>
            <a:ln w="95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cat>
            <c:numRef>
              <c:f>Расчет!$D$22:$M$22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Расчет!$D$30:$M$30</c:f>
              <c:numCache>
                <c:formatCode>0.0%</c:formatCode>
                <c:ptCount val="10"/>
                <c:pt idx="0">
                  <c:v>0.2857142857142857</c:v>
                </c:pt>
                <c:pt idx="1">
                  <c:v>0.22222222222222221</c:v>
                </c:pt>
                <c:pt idx="2">
                  <c:v>0.18181818181818182</c:v>
                </c:pt>
                <c:pt idx="3">
                  <c:v>0.15384615384615385</c:v>
                </c:pt>
                <c:pt idx="4">
                  <c:v>0.13333333333333333</c:v>
                </c:pt>
                <c:pt idx="5">
                  <c:v>0.11764705882352941</c:v>
                </c:pt>
                <c:pt idx="6">
                  <c:v>0.10526315789473684</c:v>
                </c:pt>
                <c:pt idx="7">
                  <c:v>9.5238095238095233E-2</c:v>
                </c:pt>
                <c:pt idx="8">
                  <c:v>8.6956521739130432E-2</c:v>
                </c:pt>
                <c:pt idx="9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4C-49B8-8F10-CDD84D11A21E}"/>
            </c:ext>
          </c:extLst>
        </c:ser>
        <c:ser>
          <c:idx val="8"/>
          <c:order val="8"/>
          <c:tx>
            <c:strRef>
              <c:f>Расчет!$C$31</c:f>
              <c:strCache>
                <c:ptCount val="1"/>
                <c:pt idx="0">
                  <c:v>45,0%</c:v>
                </c:pt>
              </c:strCache>
            </c:strRef>
          </c:tx>
          <c:spPr>
            <a:ln w="95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cat>
            <c:numRef>
              <c:f>Расчет!$D$22:$M$22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Расчет!$D$31:$M$31</c:f>
              <c:numCache>
                <c:formatCode>0.0%</c:formatCode>
                <c:ptCount val="10"/>
                <c:pt idx="0">
                  <c:v>0.31034482758620691</c:v>
                </c:pt>
                <c:pt idx="1">
                  <c:v>0.23684210526315788</c:v>
                </c:pt>
                <c:pt idx="2">
                  <c:v>0.19148936170212766</c:v>
                </c:pt>
                <c:pt idx="3">
                  <c:v>0.1607142857142857</c:v>
                </c:pt>
                <c:pt idx="4">
                  <c:v>0.13846153846153847</c:v>
                </c:pt>
                <c:pt idx="5">
                  <c:v>0.12162162162162163</c:v>
                </c:pt>
                <c:pt idx="6">
                  <c:v>0.10843373493975905</c:v>
                </c:pt>
                <c:pt idx="7">
                  <c:v>9.7826086956521743E-2</c:v>
                </c:pt>
                <c:pt idx="8">
                  <c:v>8.9108910891089119E-2</c:v>
                </c:pt>
                <c:pt idx="9">
                  <c:v>8.1818181818181818E-2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4C-49B8-8F10-CDD84D11A21E}"/>
            </c:ext>
          </c:extLst>
        </c:ser>
        <c:ser>
          <c:idx val="9"/>
          <c:order val="9"/>
          <c:tx>
            <c:strRef>
              <c:f>Расчет!$C$32</c:f>
              <c:strCache>
                <c:ptCount val="1"/>
                <c:pt idx="0">
                  <c:v>50,0%</c:v>
                </c:pt>
              </c:strCache>
            </c:strRef>
          </c:tx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cat>
            <c:numRef>
              <c:f>Расчет!$D$22:$M$22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Расчет!$D$32:$M$32</c:f>
              <c:numCache>
                <c:formatCode>0.0%</c:formatCode>
                <c:ptCount val="10"/>
                <c:pt idx="0">
                  <c:v>0.33333333333333331</c:v>
                </c:pt>
                <c:pt idx="1">
                  <c:v>0.25</c:v>
                </c:pt>
                <c:pt idx="2">
                  <c:v>0.2</c:v>
                </c:pt>
                <c:pt idx="3">
                  <c:v>0.16666666666666666</c:v>
                </c:pt>
                <c:pt idx="4">
                  <c:v>0.14285714285714285</c:v>
                </c:pt>
                <c:pt idx="5">
                  <c:v>0.125</c:v>
                </c:pt>
                <c:pt idx="6">
                  <c:v>0.1111111111111111</c:v>
                </c:pt>
                <c:pt idx="7">
                  <c:v>0.1</c:v>
                </c:pt>
                <c:pt idx="8">
                  <c:v>9.0909090909090912E-2</c:v>
                </c:pt>
                <c:pt idx="9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4C-49B8-8F10-CDD84D11A21E}"/>
            </c:ext>
          </c:extLst>
        </c:ser>
        <c:bandFmts>
          <c:bandFmt>
            <c:idx val="0"/>
            <c:spPr>
              <a:ln w="9525" cap="rnd">
                <a:solidFill>
                  <a:schemeClr val="accent1"/>
                </a:solidFill>
                <a:round/>
              </a:ln>
              <a:effectLst/>
            </c:spPr>
          </c:bandFmt>
          <c:bandFmt>
            <c:idx val="1"/>
            <c:spPr>
              <a:ln w="9525" cap="rnd">
                <a:solidFill>
                  <a:schemeClr val="accent2"/>
                </a:solidFill>
                <a:round/>
              </a:ln>
              <a:effectLst/>
            </c:spPr>
          </c:bandFmt>
          <c:bandFmt>
            <c:idx val="2"/>
            <c:spPr>
              <a:ln w="9525" cap="rnd">
                <a:solidFill>
                  <a:schemeClr val="accent3"/>
                </a:solidFill>
                <a:round/>
              </a:ln>
              <a:effectLst/>
            </c:spPr>
          </c:bandFmt>
          <c:bandFmt>
            <c:idx val="3"/>
            <c:spPr>
              <a:ln w="9525" cap="rnd">
                <a:solidFill>
                  <a:schemeClr val="accent4"/>
                </a:solidFill>
                <a:round/>
              </a:ln>
              <a:effectLst/>
            </c:spPr>
          </c:bandFmt>
          <c:bandFmt>
            <c:idx val="4"/>
            <c:spPr>
              <a:ln w="9525" cap="rnd">
                <a:solidFill>
                  <a:schemeClr val="accent5"/>
                </a:solidFill>
                <a:round/>
              </a:ln>
              <a:effectLst/>
            </c:spPr>
          </c:bandFmt>
          <c:bandFmt>
            <c:idx val="5"/>
            <c:spPr>
              <a:ln w="9525" cap="rnd">
                <a:solidFill>
                  <a:schemeClr val="accent6"/>
                </a:solidFill>
                <a:round/>
              </a:ln>
              <a:effectLst/>
            </c:spPr>
          </c:bandFmt>
          <c:bandFmt>
            <c:idx val="6"/>
            <c:spPr>
              <a:ln w="9525" cap="rnd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7"/>
            <c:spPr>
              <a:ln w="9525" cap="rnd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8"/>
            <c:spPr>
              <a:ln w="9525" cap="rnd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9"/>
            <c:spPr>
              <a:ln w="9525" cap="rnd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10"/>
            <c:spPr>
              <a:ln w="9525" cap="rnd">
                <a:solidFill>
                  <a:schemeClr val="accent5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11"/>
            <c:spPr>
              <a:ln w="9525" cap="rnd">
                <a:solidFill>
                  <a:schemeClr val="accent6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12"/>
            <c:spPr>
              <a:ln w="9525" cap="rnd">
                <a:solidFill>
                  <a:schemeClr val="accent1">
                    <a:lumMod val="80000"/>
                    <a:lumOff val="20000"/>
                  </a:schemeClr>
                </a:solidFill>
                <a:round/>
              </a:ln>
              <a:effectLst/>
            </c:spPr>
          </c:bandFmt>
          <c:bandFmt>
            <c:idx val="13"/>
            <c:spPr>
              <a:ln w="9525" cap="rnd">
                <a:solidFill>
                  <a:schemeClr val="accent2">
                    <a:lumMod val="80000"/>
                    <a:lumOff val="20000"/>
                  </a:schemeClr>
                </a:solidFill>
                <a:round/>
              </a:ln>
              <a:effectLst/>
            </c:spPr>
          </c:bandFmt>
          <c:bandFmt>
            <c:idx val="14"/>
            <c:spPr>
              <a:ln w="9525" cap="rnd">
                <a:solidFill>
                  <a:schemeClr val="accent3">
                    <a:lumMod val="80000"/>
                    <a:lumOff val="20000"/>
                  </a:schemeClr>
                </a:solidFill>
                <a:round/>
              </a:ln>
              <a:effectLst/>
            </c:spPr>
          </c:bandFmt>
        </c:bandFmts>
        <c:axId val="1776892144"/>
        <c:axId val="1958422880"/>
        <c:axId val="1668435840"/>
      </c:surface3DChart>
      <c:catAx>
        <c:axId val="177689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8422880"/>
        <c:crosses val="autoZero"/>
        <c:auto val="1"/>
        <c:lblAlgn val="ctr"/>
        <c:lblOffset val="100"/>
        <c:noMultiLvlLbl val="0"/>
      </c:catAx>
      <c:valAx>
        <c:axId val="195842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6892144"/>
        <c:crosses val="autoZero"/>
        <c:crossBetween val="midCat"/>
      </c:valAx>
      <c:serAx>
        <c:axId val="166843584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842288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зависимость НМКК1</a:t>
            </a:r>
            <a:r>
              <a:rPr lang="ru-RU" baseline="0"/>
              <a:t> (по 5115-У) от исходгого</a:t>
            </a:r>
            <a:endParaRPr lang="ru-RU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Расчет!$D$22</c:f>
              <c:strCache>
                <c:ptCount val="1"/>
                <c:pt idx="0">
                  <c:v>1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A-B77B-4D4D-BBE7-BFAFFE4196C0}"/>
              </c:ext>
            </c:extLst>
          </c:dPt>
          <c:dPt>
            <c:idx val="1"/>
            <c:bubble3D val="0"/>
            <c:spPr>
              <a:ln w="952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B77B-4D4D-BBE7-BFAFFE4196C0}"/>
              </c:ext>
            </c:extLst>
          </c:dPt>
          <c:dPt>
            <c:idx val="2"/>
            <c:bubble3D val="0"/>
            <c:spPr>
              <a:ln w="952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B77B-4D4D-BBE7-BFAFFE4196C0}"/>
              </c:ext>
            </c:extLst>
          </c:dPt>
          <c:dPt>
            <c:idx val="3"/>
            <c:bubble3D val="0"/>
            <c:spPr>
              <a:ln w="9525" cap="rnd">
                <a:solidFill>
                  <a:schemeClr val="accent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7B-4D4D-BBE7-BFAFFE4196C0}"/>
              </c:ext>
            </c:extLst>
          </c:dPt>
          <c:dPt>
            <c:idx val="4"/>
            <c:bubble3D val="0"/>
            <c:spPr>
              <a:ln w="9525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B77B-4D4D-BBE7-BFAFFE4196C0}"/>
              </c:ext>
            </c:extLst>
          </c:dPt>
          <c:dPt>
            <c:idx val="5"/>
            <c:bubble3D val="0"/>
            <c:spPr>
              <a:ln w="9525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B77B-4D4D-BBE7-BFAFFE4196C0}"/>
              </c:ext>
            </c:extLst>
          </c:dPt>
          <c:dPt>
            <c:idx val="6"/>
            <c:bubble3D val="0"/>
            <c:spPr>
              <a:ln w="9525" cap="rnd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B77B-4D4D-BBE7-BFAFFE4196C0}"/>
              </c:ext>
            </c:extLst>
          </c:dPt>
          <c:dPt>
            <c:idx val="7"/>
            <c:bubble3D val="0"/>
            <c:spPr>
              <a:ln w="9525" cap="rnd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B77B-4D4D-BBE7-BFAFFE4196C0}"/>
              </c:ext>
            </c:extLst>
          </c:dPt>
          <c:dPt>
            <c:idx val="8"/>
            <c:bubble3D val="0"/>
            <c:spPr>
              <a:ln w="9525" cap="rnd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B77B-4D4D-BBE7-BFAFFE4196C0}"/>
              </c:ext>
            </c:extLst>
          </c:dPt>
          <c:dPt>
            <c:idx val="9"/>
            <c:bubble3D val="0"/>
            <c:spPr>
              <a:ln w="9525" cap="rnd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B77B-4D4D-BBE7-BFAFFE4196C0}"/>
              </c:ext>
            </c:extLst>
          </c:dPt>
          <c:dPt>
            <c:idx val="10"/>
            <c:bubble3D val="0"/>
            <c:spPr>
              <a:ln w="9525" cap="rnd">
                <a:solidFill>
                  <a:schemeClr val="accent5">
                    <a:lumMod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B77B-4D4D-BBE7-BFAFFE4196C0}"/>
              </c:ext>
            </c:extLst>
          </c:dPt>
          <c:dPt>
            <c:idx val="11"/>
            <c:bubble3D val="0"/>
            <c:spPr>
              <a:ln w="9525" cap="rnd">
                <a:solidFill>
                  <a:schemeClr val="accent6">
                    <a:lumMod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B77B-4D4D-BBE7-BFAFFE4196C0}"/>
              </c:ext>
            </c:extLst>
          </c:dPt>
          <c:dPt>
            <c:idx val="12"/>
            <c:bubble3D val="0"/>
            <c:spPr>
              <a:ln w="9525" cap="rnd">
                <a:solidFill>
                  <a:schemeClr val="accent1">
                    <a:lumMod val="80000"/>
                    <a:lumOff val="2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B77B-4D4D-BBE7-BFAFFE4196C0}"/>
              </c:ext>
            </c:extLst>
          </c:dPt>
          <c:dPt>
            <c:idx val="13"/>
            <c:bubble3D val="0"/>
            <c:spPr>
              <a:ln w="9525" cap="rnd">
                <a:solidFill>
                  <a:schemeClr val="accent2">
                    <a:lumMod val="80000"/>
                    <a:lumOff val="2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B77B-4D4D-BBE7-BFAFFE4196C0}"/>
              </c:ext>
            </c:extLst>
          </c:dPt>
          <c:dPt>
            <c:idx val="14"/>
            <c:bubble3D val="0"/>
            <c:spPr>
              <a:ln w="9525" cap="rnd">
                <a:solidFill>
                  <a:schemeClr val="accent3">
                    <a:lumMod val="80000"/>
                    <a:lumOff val="2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B77B-4D4D-BBE7-BFAFFE4196C0}"/>
              </c:ext>
            </c:extLst>
          </c:dPt>
          <c:cat>
            <c:numRef>
              <c:f>Расчет!$C$23:$C$32</c:f>
              <c:numCache>
                <c:formatCode>0.0%</c:formatCode>
                <c:ptCount val="10"/>
                <c:pt idx="0">
                  <c:v>0.05</c:v>
                </c:pt>
                <c:pt idx="1">
                  <c:v>0.1</c:v>
                </c:pt>
                <c:pt idx="2">
                  <c:v>0.15000000000000002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0.39999999999999997</c:v>
                </c:pt>
                <c:pt idx="8">
                  <c:v>0.44999999999999996</c:v>
                </c:pt>
                <c:pt idx="9">
                  <c:v>0.49999999999999994</c:v>
                </c:pt>
              </c:numCache>
            </c:numRef>
          </c:cat>
          <c:val>
            <c:numRef>
              <c:f>Расчет!$D$23:$D$32</c:f>
              <c:numCache>
                <c:formatCode>0.0%</c:formatCode>
                <c:ptCount val="10"/>
                <c:pt idx="0">
                  <c:v>4.7619047619047616E-2</c:v>
                </c:pt>
                <c:pt idx="1">
                  <c:v>9.0909090909090912E-2</c:v>
                </c:pt>
                <c:pt idx="2">
                  <c:v>0.13043478260869565</c:v>
                </c:pt>
                <c:pt idx="3">
                  <c:v>0.16666666666666666</c:v>
                </c:pt>
                <c:pt idx="4">
                  <c:v>0.2</c:v>
                </c:pt>
                <c:pt idx="5">
                  <c:v>0.23076923076923073</c:v>
                </c:pt>
                <c:pt idx="6">
                  <c:v>0.25925925925925924</c:v>
                </c:pt>
                <c:pt idx="7">
                  <c:v>0.2857142857142857</c:v>
                </c:pt>
                <c:pt idx="8">
                  <c:v>0.31034482758620691</c:v>
                </c:pt>
                <c:pt idx="9">
                  <c:v>0.33333333333333331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B-4D4D-BBE7-BFAFFE4196C0}"/>
            </c:ext>
          </c:extLst>
        </c:ser>
        <c:ser>
          <c:idx val="1"/>
          <c:order val="1"/>
          <c:tx>
            <c:strRef>
              <c:f>Расчет!$E$22</c:f>
              <c:strCache>
                <c:ptCount val="1"/>
                <c:pt idx="0">
                  <c:v>2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Расчет!$C$23:$C$32</c:f>
              <c:numCache>
                <c:formatCode>0.0%</c:formatCode>
                <c:ptCount val="10"/>
                <c:pt idx="0">
                  <c:v>0.05</c:v>
                </c:pt>
                <c:pt idx="1">
                  <c:v>0.1</c:v>
                </c:pt>
                <c:pt idx="2">
                  <c:v>0.15000000000000002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0.39999999999999997</c:v>
                </c:pt>
                <c:pt idx="8">
                  <c:v>0.44999999999999996</c:v>
                </c:pt>
                <c:pt idx="9">
                  <c:v>0.49999999999999994</c:v>
                </c:pt>
              </c:numCache>
            </c:numRef>
          </c:cat>
          <c:val>
            <c:numRef>
              <c:f>Расчет!$E$23:$E$32</c:f>
              <c:numCache>
                <c:formatCode>0.0%</c:formatCode>
                <c:ptCount val="10"/>
                <c:pt idx="0">
                  <c:v>4.5454545454545456E-2</c:v>
                </c:pt>
                <c:pt idx="1">
                  <c:v>8.3333333333333329E-2</c:v>
                </c:pt>
                <c:pt idx="2">
                  <c:v>0.11538461538461539</c:v>
                </c:pt>
                <c:pt idx="3">
                  <c:v>0.14285714285714285</c:v>
                </c:pt>
                <c:pt idx="4">
                  <c:v>0.16666666666666666</c:v>
                </c:pt>
                <c:pt idx="5">
                  <c:v>0.18749999999999997</c:v>
                </c:pt>
                <c:pt idx="6">
                  <c:v>0.20588235294117646</c:v>
                </c:pt>
                <c:pt idx="7">
                  <c:v>0.22222222222222221</c:v>
                </c:pt>
                <c:pt idx="8">
                  <c:v>0.23684210526315788</c:v>
                </c:pt>
                <c:pt idx="9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B-4D4D-BBE7-BFAFFE4196C0}"/>
            </c:ext>
          </c:extLst>
        </c:ser>
        <c:ser>
          <c:idx val="2"/>
          <c:order val="2"/>
          <c:tx>
            <c:strRef>
              <c:f>Расчет!$F$22</c:f>
              <c:strCache>
                <c:ptCount val="1"/>
                <c:pt idx="0">
                  <c:v>3</c:v>
                </c:pt>
              </c:strCache>
            </c:strRef>
          </c:tx>
          <c:spPr>
            <a:ln w="95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Расчет!$C$23:$C$32</c:f>
              <c:numCache>
                <c:formatCode>0.0%</c:formatCode>
                <c:ptCount val="10"/>
                <c:pt idx="0">
                  <c:v>0.05</c:v>
                </c:pt>
                <c:pt idx="1">
                  <c:v>0.1</c:v>
                </c:pt>
                <c:pt idx="2">
                  <c:v>0.15000000000000002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0.39999999999999997</c:v>
                </c:pt>
                <c:pt idx="8">
                  <c:v>0.44999999999999996</c:v>
                </c:pt>
                <c:pt idx="9">
                  <c:v>0.49999999999999994</c:v>
                </c:pt>
              </c:numCache>
            </c:numRef>
          </c:cat>
          <c:val>
            <c:numRef>
              <c:f>Расчет!$F$23:$F$32</c:f>
              <c:numCache>
                <c:formatCode>0.0%</c:formatCode>
                <c:ptCount val="10"/>
                <c:pt idx="0">
                  <c:v>4.3478260869565216E-2</c:v>
                </c:pt>
                <c:pt idx="1">
                  <c:v>7.6923076923076927E-2</c:v>
                </c:pt>
                <c:pt idx="2">
                  <c:v>0.10344827586206898</c:v>
                </c:pt>
                <c:pt idx="3">
                  <c:v>0.125</c:v>
                </c:pt>
                <c:pt idx="4">
                  <c:v>0.14285714285714285</c:v>
                </c:pt>
                <c:pt idx="5">
                  <c:v>0.15789473684210525</c:v>
                </c:pt>
                <c:pt idx="6">
                  <c:v>0.17073170731707316</c:v>
                </c:pt>
                <c:pt idx="7">
                  <c:v>0.18181818181818182</c:v>
                </c:pt>
                <c:pt idx="8">
                  <c:v>0.19148936170212766</c:v>
                </c:pt>
                <c:pt idx="9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7B-4D4D-BBE7-BFAFFE4196C0}"/>
            </c:ext>
          </c:extLst>
        </c:ser>
        <c:ser>
          <c:idx val="3"/>
          <c:order val="3"/>
          <c:tx>
            <c:strRef>
              <c:f>Расчет!$G$22</c:f>
              <c:strCache>
                <c:ptCount val="1"/>
                <c:pt idx="0">
                  <c:v>4</c:v>
                </c:pt>
              </c:strCache>
            </c:strRef>
          </c:tx>
          <c:spPr>
            <a:ln w="95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Расчет!$C$23:$C$32</c:f>
              <c:numCache>
                <c:formatCode>0.0%</c:formatCode>
                <c:ptCount val="10"/>
                <c:pt idx="0">
                  <c:v>0.05</c:v>
                </c:pt>
                <c:pt idx="1">
                  <c:v>0.1</c:v>
                </c:pt>
                <c:pt idx="2">
                  <c:v>0.15000000000000002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0.39999999999999997</c:v>
                </c:pt>
                <c:pt idx="8">
                  <c:v>0.44999999999999996</c:v>
                </c:pt>
                <c:pt idx="9">
                  <c:v>0.49999999999999994</c:v>
                </c:pt>
              </c:numCache>
            </c:numRef>
          </c:cat>
          <c:val>
            <c:numRef>
              <c:f>Расчет!$G$23:$G$32</c:f>
              <c:numCache>
                <c:formatCode>0.0%</c:formatCode>
                <c:ptCount val="10"/>
                <c:pt idx="0">
                  <c:v>4.1666666666666664E-2</c:v>
                </c:pt>
                <c:pt idx="1">
                  <c:v>7.1428571428571425E-2</c:v>
                </c:pt>
                <c:pt idx="2">
                  <c:v>9.375E-2</c:v>
                </c:pt>
                <c:pt idx="3">
                  <c:v>0.1111111111111111</c:v>
                </c:pt>
                <c:pt idx="4">
                  <c:v>0.125</c:v>
                </c:pt>
                <c:pt idx="5">
                  <c:v>0.13636363636363635</c:v>
                </c:pt>
                <c:pt idx="6">
                  <c:v>0.14583333333333331</c:v>
                </c:pt>
                <c:pt idx="7">
                  <c:v>0.15384615384615385</c:v>
                </c:pt>
                <c:pt idx="8">
                  <c:v>0.1607142857142857</c:v>
                </c:pt>
                <c:pt idx="9">
                  <c:v>0.16666666666666666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7B-4D4D-BBE7-BFAFFE4196C0}"/>
            </c:ext>
          </c:extLst>
        </c:ser>
        <c:ser>
          <c:idx val="4"/>
          <c:order val="4"/>
          <c:tx>
            <c:strRef>
              <c:f>Расчет!$H$22</c:f>
              <c:strCache>
                <c:ptCount val="1"/>
                <c:pt idx="0">
                  <c:v>5</c:v>
                </c:pt>
              </c:strCache>
            </c:strRef>
          </c:tx>
          <c:spPr>
            <a:ln w="95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Расчет!$C$23:$C$32</c:f>
              <c:numCache>
                <c:formatCode>0.0%</c:formatCode>
                <c:ptCount val="10"/>
                <c:pt idx="0">
                  <c:v>0.05</c:v>
                </c:pt>
                <c:pt idx="1">
                  <c:v>0.1</c:v>
                </c:pt>
                <c:pt idx="2">
                  <c:v>0.15000000000000002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0.39999999999999997</c:v>
                </c:pt>
                <c:pt idx="8">
                  <c:v>0.44999999999999996</c:v>
                </c:pt>
                <c:pt idx="9">
                  <c:v>0.49999999999999994</c:v>
                </c:pt>
              </c:numCache>
            </c:numRef>
          </c:cat>
          <c:val>
            <c:numRef>
              <c:f>Расчет!$H$23:$H$32</c:f>
              <c:numCache>
                <c:formatCode>0.0%</c:formatCode>
                <c:ptCount val="10"/>
                <c:pt idx="0">
                  <c:v>0.04</c:v>
                </c:pt>
                <c:pt idx="1">
                  <c:v>6.6666666666666666E-2</c:v>
                </c:pt>
                <c:pt idx="2">
                  <c:v>8.5714285714285715E-2</c:v>
                </c:pt>
                <c:pt idx="3">
                  <c:v>0.1</c:v>
                </c:pt>
                <c:pt idx="4">
                  <c:v>0.1111111111111111</c:v>
                </c:pt>
                <c:pt idx="5">
                  <c:v>0.12</c:v>
                </c:pt>
                <c:pt idx="6">
                  <c:v>0.12727272727272726</c:v>
                </c:pt>
                <c:pt idx="7">
                  <c:v>0.13333333333333333</c:v>
                </c:pt>
                <c:pt idx="8">
                  <c:v>0.13846153846153847</c:v>
                </c:pt>
                <c:pt idx="9">
                  <c:v>0.14285714285714285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7B-4D4D-BBE7-BFAFFE4196C0}"/>
            </c:ext>
          </c:extLst>
        </c:ser>
        <c:ser>
          <c:idx val="5"/>
          <c:order val="5"/>
          <c:tx>
            <c:strRef>
              <c:f>Расчет!$I$22</c:f>
              <c:strCache>
                <c:ptCount val="1"/>
                <c:pt idx="0">
                  <c:v>6</c:v>
                </c:pt>
              </c:strCache>
            </c:strRef>
          </c:tx>
          <c:spPr>
            <a:ln w="95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Расчет!$C$23:$C$32</c:f>
              <c:numCache>
                <c:formatCode>0.0%</c:formatCode>
                <c:ptCount val="10"/>
                <c:pt idx="0">
                  <c:v>0.05</c:v>
                </c:pt>
                <c:pt idx="1">
                  <c:v>0.1</c:v>
                </c:pt>
                <c:pt idx="2">
                  <c:v>0.15000000000000002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0.39999999999999997</c:v>
                </c:pt>
                <c:pt idx="8">
                  <c:v>0.44999999999999996</c:v>
                </c:pt>
                <c:pt idx="9">
                  <c:v>0.49999999999999994</c:v>
                </c:pt>
              </c:numCache>
            </c:numRef>
          </c:cat>
          <c:val>
            <c:numRef>
              <c:f>Расчет!$I$23:$I$32</c:f>
              <c:numCache>
                <c:formatCode>0.0%</c:formatCode>
                <c:ptCount val="10"/>
                <c:pt idx="0">
                  <c:v>3.8461538461538464E-2</c:v>
                </c:pt>
                <c:pt idx="1">
                  <c:v>6.25E-2</c:v>
                </c:pt>
                <c:pt idx="2">
                  <c:v>7.8947368421052641E-2</c:v>
                </c:pt>
                <c:pt idx="3">
                  <c:v>9.0909090909090912E-2</c:v>
                </c:pt>
                <c:pt idx="4">
                  <c:v>0.1</c:v>
                </c:pt>
                <c:pt idx="5">
                  <c:v>0.10714285714285714</c:v>
                </c:pt>
                <c:pt idx="6">
                  <c:v>0.11290322580645161</c:v>
                </c:pt>
                <c:pt idx="7">
                  <c:v>0.11764705882352941</c:v>
                </c:pt>
                <c:pt idx="8">
                  <c:v>0.12162162162162163</c:v>
                </c:pt>
                <c:pt idx="9">
                  <c:v>0.125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7B-4D4D-BBE7-BFAFFE4196C0}"/>
            </c:ext>
          </c:extLst>
        </c:ser>
        <c:ser>
          <c:idx val="6"/>
          <c:order val="6"/>
          <c:tx>
            <c:strRef>
              <c:f>Расчет!$J$22</c:f>
              <c:strCache>
                <c:ptCount val="1"/>
                <c:pt idx="0">
                  <c:v>7</c:v>
                </c:pt>
              </c:strCache>
            </c:strRef>
          </c:tx>
          <c:spPr>
            <a:ln w="95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Расчет!$C$23:$C$32</c:f>
              <c:numCache>
                <c:formatCode>0.0%</c:formatCode>
                <c:ptCount val="10"/>
                <c:pt idx="0">
                  <c:v>0.05</c:v>
                </c:pt>
                <c:pt idx="1">
                  <c:v>0.1</c:v>
                </c:pt>
                <c:pt idx="2">
                  <c:v>0.15000000000000002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0.39999999999999997</c:v>
                </c:pt>
                <c:pt idx="8">
                  <c:v>0.44999999999999996</c:v>
                </c:pt>
                <c:pt idx="9">
                  <c:v>0.49999999999999994</c:v>
                </c:pt>
              </c:numCache>
            </c:numRef>
          </c:cat>
          <c:val>
            <c:numRef>
              <c:f>Расчет!$J$23:$J$32</c:f>
              <c:numCache>
                <c:formatCode>0.0%</c:formatCode>
                <c:ptCount val="10"/>
                <c:pt idx="0">
                  <c:v>3.7037037037037035E-2</c:v>
                </c:pt>
                <c:pt idx="1">
                  <c:v>5.8823529411764705E-2</c:v>
                </c:pt>
                <c:pt idx="2">
                  <c:v>7.3170731707317083E-2</c:v>
                </c:pt>
                <c:pt idx="3">
                  <c:v>8.3333333333333329E-2</c:v>
                </c:pt>
                <c:pt idx="4">
                  <c:v>9.0909090909090912E-2</c:v>
                </c:pt>
                <c:pt idx="5">
                  <c:v>9.6774193548387094E-2</c:v>
                </c:pt>
                <c:pt idx="6">
                  <c:v>0.10144927536231883</c:v>
                </c:pt>
                <c:pt idx="7">
                  <c:v>0.10526315789473684</c:v>
                </c:pt>
                <c:pt idx="8">
                  <c:v>0.10843373493975905</c:v>
                </c:pt>
                <c:pt idx="9">
                  <c:v>0.1111111111111111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7B-4D4D-BBE7-BFAFFE4196C0}"/>
            </c:ext>
          </c:extLst>
        </c:ser>
        <c:ser>
          <c:idx val="7"/>
          <c:order val="7"/>
          <c:tx>
            <c:strRef>
              <c:f>Расчет!$K$22</c:f>
              <c:strCache>
                <c:ptCount val="1"/>
                <c:pt idx="0">
                  <c:v>8</c:v>
                </c:pt>
              </c:strCache>
            </c:strRef>
          </c:tx>
          <c:spPr>
            <a:ln w="95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Расчет!$C$23:$C$32</c:f>
              <c:numCache>
                <c:formatCode>0.0%</c:formatCode>
                <c:ptCount val="10"/>
                <c:pt idx="0">
                  <c:v>0.05</c:v>
                </c:pt>
                <c:pt idx="1">
                  <c:v>0.1</c:v>
                </c:pt>
                <c:pt idx="2">
                  <c:v>0.15000000000000002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0.39999999999999997</c:v>
                </c:pt>
                <c:pt idx="8">
                  <c:v>0.44999999999999996</c:v>
                </c:pt>
                <c:pt idx="9">
                  <c:v>0.49999999999999994</c:v>
                </c:pt>
              </c:numCache>
            </c:numRef>
          </c:cat>
          <c:val>
            <c:numRef>
              <c:f>Расчет!$K$23:$K$32</c:f>
              <c:numCache>
                <c:formatCode>0.0%</c:formatCode>
                <c:ptCount val="10"/>
                <c:pt idx="0">
                  <c:v>3.5714285714285712E-2</c:v>
                </c:pt>
                <c:pt idx="1">
                  <c:v>5.5555555555555552E-2</c:v>
                </c:pt>
                <c:pt idx="2">
                  <c:v>6.8181818181818191E-2</c:v>
                </c:pt>
                <c:pt idx="3">
                  <c:v>7.6923076923076927E-2</c:v>
                </c:pt>
                <c:pt idx="4">
                  <c:v>8.3333333333333329E-2</c:v>
                </c:pt>
                <c:pt idx="5">
                  <c:v>8.8235294117647051E-2</c:v>
                </c:pt>
                <c:pt idx="6">
                  <c:v>9.2105263157894732E-2</c:v>
                </c:pt>
                <c:pt idx="7">
                  <c:v>9.5238095238095233E-2</c:v>
                </c:pt>
                <c:pt idx="8">
                  <c:v>9.7826086956521743E-2</c:v>
                </c:pt>
                <c:pt idx="9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7B-4D4D-BBE7-BFAFFE4196C0}"/>
            </c:ext>
          </c:extLst>
        </c:ser>
        <c:ser>
          <c:idx val="8"/>
          <c:order val="8"/>
          <c:tx>
            <c:strRef>
              <c:f>Расчет!$L$22</c:f>
              <c:strCache>
                <c:ptCount val="1"/>
                <c:pt idx="0">
                  <c:v>9</c:v>
                </c:pt>
              </c:strCache>
            </c:strRef>
          </c:tx>
          <c:spPr>
            <a:ln w="95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Расчет!$C$23:$C$32</c:f>
              <c:numCache>
                <c:formatCode>0.0%</c:formatCode>
                <c:ptCount val="10"/>
                <c:pt idx="0">
                  <c:v>0.05</c:v>
                </c:pt>
                <c:pt idx="1">
                  <c:v>0.1</c:v>
                </c:pt>
                <c:pt idx="2">
                  <c:v>0.15000000000000002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0.39999999999999997</c:v>
                </c:pt>
                <c:pt idx="8">
                  <c:v>0.44999999999999996</c:v>
                </c:pt>
                <c:pt idx="9">
                  <c:v>0.49999999999999994</c:v>
                </c:pt>
              </c:numCache>
            </c:numRef>
          </c:cat>
          <c:val>
            <c:numRef>
              <c:f>Расчет!$L$23:$L$32</c:f>
              <c:numCache>
                <c:formatCode>0.0%</c:formatCode>
                <c:ptCount val="10"/>
                <c:pt idx="0">
                  <c:v>3.4482758620689655E-2</c:v>
                </c:pt>
                <c:pt idx="1">
                  <c:v>5.2631578947368418E-2</c:v>
                </c:pt>
                <c:pt idx="2">
                  <c:v>6.3829787234042562E-2</c:v>
                </c:pt>
                <c:pt idx="3">
                  <c:v>7.1428571428571425E-2</c:v>
                </c:pt>
                <c:pt idx="4">
                  <c:v>7.6923076923076927E-2</c:v>
                </c:pt>
                <c:pt idx="5">
                  <c:v>8.1081081081081072E-2</c:v>
                </c:pt>
                <c:pt idx="6">
                  <c:v>8.4337349397590355E-2</c:v>
                </c:pt>
                <c:pt idx="7">
                  <c:v>8.6956521739130432E-2</c:v>
                </c:pt>
                <c:pt idx="8">
                  <c:v>8.9108910891089119E-2</c:v>
                </c:pt>
                <c:pt idx="9">
                  <c:v>9.0909090909090912E-2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7B-4D4D-BBE7-BFAFFE4196C0}"/>
            </c:ext>
          </c:extLst>
        </c:ser>
        <c:ser>
          <c:idx val="9"/>
          <c:order val="9"/>
          <c:tx>
            <c:strRef>
              <c:f>Расчет!$M$22</c:f>
              <c:strCache>
                <c:ptCount val="1"/>
                <c:pt idx="0">
                  <c:v>10</c:v>
                </c:pt>
              </c:strCache>
            </c:strRef>
          </c:tx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Расчет!$C$23:$C$32</c:f>
              <c:numCache>
                <c:formatCode>0.0%</c:formatCode>
                <c:ptCount val="10"/>
                <c:pt idx="0">
                  <c:v>0.05</c:v>
                </c:pt>
                <c:pt idx="1">
                  <c:v>0.1</c:v>
                </c:pt>
                <c:pt idx="2">
                  <c:v>0.15000000000000002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0.39999999999999997</c:v>
                </c:pt>
                <c:pt idx="8">
                  <c:v>0.44999999999999996</c:v>
                </c:pt>
                <c:pt idx="9">
                  <c:v>0.49999999999999994</c:v>
                </c:pt>
              </c:numCache>
            </c:numRef>
          </c:cat>
          <c:val>
            <c:numRef>
              <c:f>Расчет!$M$23:$M$32</c:f>
              <c:numCache>
                <c:formatCode>0.0%</c:formatCode>
                <c:ptCount val="10"/>
                <c:pt idx="0">
                  <c:v>3.3333333333333333E-2</c:v>
                </c:pt>
                <c:pt idx="1">
                  <c:v>0.05</c:v>
                </c:pt>
                <c:pt idx="2">
                  <c:v>6.0000000000000012E-2</c:v>
                </c:pt>
                <c:pt idx="3">
                  <c:v>6.6666666666666666E-2</c:v>
                </c:pt>
                <c:pt idx="4">
                  <c:v>7.1428571428571425E-2</c:v>
                </c:pt>
                <c:pt idx="5">
                  <c:v>7.4999999999999997E-2</c:v>
                </c:pt>
                <c:pt idx="6">
                  <c:v>7.7777777777777779E-2</c:v>
                </c:pt>
                <c:pt idx="7">
                  <c:v>0.08</c:v>
                </c:pt>
                <c:pt idx="8">
                  <c:v>8.1818181818181818E-2</c:v>
                </c:pt>
                <c:pt idx="9">
                  <c:v>8.3333333333333329E-2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7B-4D4D-BBE7-BFAFFE419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6892144"/>
        <c:axId val="1958422880"/>
      </c:lineChart>
      <c:catAx>
        <c:axId val="1776892144"/>
        <c:scaling>
          <c:orientation val="minMax"/>
        </c:scaling>
        <c:delete val="0"/>
        <c:axPos val="b"/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8422880"/>
        <c:crosses val="autoZero"/>
        <c:auto val="1"/>
        <c:lblAlgn val="ctr"/>
        <c:lblOffset val="100"/>
        <c:noMultiLvlLbl val="0"/>
      </c:catAx>
      <c:valAx>
        <c:axId val="195842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6892144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32</xdr:row>
      <xdr:rowOff>185737</xdr:rowOff>
    </xdr:from>
    <xdr:to>
      <xdr:col>6</xdr:col>
      <xdr:colOff>790575</xdr:colOff>
      <xdr:row>47</xdr:row>
      <xdr:rowOff>71437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2C4AFB9-0300-4C57-8DEA-2941FAFED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33</xdr:row>
      <xdr:rowOff>0</xdr:rowOff>
    </xdr:from>
    <xdr:to>
      <xdr:col>12</xdr:col>
      <xdr:colOff>390525</xdr:colOff>
      <xdr:row>47</xdr:row>
      <xdr:rowOff>76200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D856DAFD-9340-47A0-BE10-4E3447087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nks/MFO/2018/&#1048;&#1090;&#1086;&#1075;&#1080;%201&#1087;&#1075;2018/&#1056;&#1072;&#1073;&#1086;&#1095;&#1072;&#1103;%20&#1076;&#1086;&#1082;&#1091;&#1084;&#1077;&#1085;&#1090;&#1072;&#1094;&#1080;&#1103;/old/&#1088;&#1101;&#1085;&#1082;&#1080;%20&#1085;&#1072;%20&#1089;&#1072;&#1081;&#1090;%20&#1089;%20&#1048;&#1053;&#1053;%20(&#1080;&#1090;&#1086;&#1075;)%201&#1087;&#1075;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nks/MFO/2019/1&#1087;&#1075;2019/&#1056;&#1072;&#1073;&#1086;&#1095;&#1072;&#1103;%20&#1076;&#1086;&#1082;&#1091;&#1084;&#1077;&#1085;&#1090;&#1072;&#1094;&#1080;&#1103;/&#1057;&#1059;&#1052;&#1052;&#1040;&#1058;&#1054;&#1056;/&#1075;&#1086;&#1089;&#1052;&#1060;&#1054;%20summator%20v%20701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</sheetNames>
    <sheetDataSet>
      <sheetData sheetId="0">
        <row r="4">
          <cell r="B4" t="str">
            <v>МигКредит</v>
          </cell>
          <cell r="C4">
            <v>3678.1840000000002</v>
          </cell>
          <cell r="D4">
            <v>2188.835</v>
          </cell>
        </row>
        <row r="5">
          <cell r="B5" t="str">
            <v>ГК MoneyMan</v>
          </cell>
          <cell r="C5">
            <v>3431.1130000000003</v>
          </cell>
          <cell r="D5">
            <v>1715.904</v>
          </cell>
        </row>
        <row r="6">
          <cell r="B6" t="str">
            <v>ГК Езаем (в том числе Монеза)</v>
          </cell>
          <cell r="C6">
            <v>3055.2740306999999</v>
          </cell>
          <cell r="D6">
            <v>1750.4775596799968</v>
          </cell>
        </row>
        <row r="7">
          <cell r="B7" t="str">
            <v>Столичный Залоговый Дом (CarMoney)</v>
          </cell>
          <cell r="C7">
            <v>2027.6679999999999</v>
          </cell>
          <cell r="D7">
            <v>945.94200000000001</v>
          </cell>
        </row>
        <row r="8">
          <cell r="B8" t="str">
            <v>ГК Eqvanta (в том числе Быстроденьги и Турбозайм)</v>
          </cell>
          <cell r="C8">
            <v>1683.4623494299999</v>
          </cell>
          <cell r="D8">
            <v>1670.7184093900003</v>
          </cell>
        </row>
        <row r="9">
          <cell r="B9" t="str">
            <v>ГК Саммит (в том числе ДоброЗайм)</v>
          </cell>
          <cell r="C9">
            <v>1628.5503899999999</v>
          </cell>
          <cell r="D9">
            <v>921.48949999999991</v>
          </cell>
        </row>
        <row r="10">
          <cell r="B10" t="str">
            <v>Займер</v>
          </cell>
          <cell r="C10">
            <v>1603.0630000000001</v>
          </cell>
          <cell r="D10">
            <v>824.02700000000004</v>
          </cell>
        </row>
        <row r="11">
          <cell r="B11" t="str">
            <v>ВиваДеньги (Центр Финансовой Поддержки)</v>
          </cell>
          <cell r="C11">
            <v>1543.164</v>
          </cell>
          <cell r="D11">
            <v>1045.4936155099999</v>
          </cell>
        </row>
        <row r="12">
          <cell r="B12" t="str">
            <v>Лига Денег</v>
          </cell>
          <cell r="C12">
            <v>1527.1220000000001</v>
          </cell>
          <cell r="D12">
            <v>768.54</v>
          </cell>
        </row>
        <row r="13">
          <cell r="B13" t="str">
            <v>Webbankir</v>
          </cell>
          <cell r="C13">
            <v>1178.701</v>
          </cell>
          <cell r="D13">
            <v>460.31900000000002</v>
          </cell>
        </row>
        <row r="14">
          <cell r="B14" t="str">
            <v>Ростовское региональное агентство поддержки предпринимательства</v>
          </cell>
          <cell r="C14">
            <v>874.64800000000002</v>
          </cell>
          <cell r="D14">
            <v>679.86199999999997</v>
          </cell>
        </row>
        <row r="15">
          <cell r="B15" t="str">
            <v>Срочноденьги</v>
          </cell>
          <cell r="C15">
            <v>797.68700000000001</v>
          </cell>
          <cell r="D15">
            <v>735.27599999999995</v>
          </cell>
        </row>
        <row r="16">
          <cell r="B16" t="str">
            <v>Кредитех Рус</v>
          </cell>
          <cell r="C16">
            <v>777.93200000000002</v>
          </cell>
          <cell r="D16">
            <v>1110.845</v>
          </cell>
        </row>
        <row r="17">
          <cell r="B17" t="str">
            <v>Удмуртский фонд развития предпринимательства</v>
          </cell>
          <cell r="C17">
            <v>753.12900000000002</v>
          </cell>
          <cell r="D17">
            <v>750.67899999999997</v>
          </cell>
        </row>
        <row r="18">
          <cell r="B18" t="str">
            <v>Форвард</v>
          </cell>
          <cell r="C18">
            <v>624.12099999999998</v>
          </cell>
          <cell r="D18">
            <v>450.77600000000001</v>
          </cell>
        </row>
        <row r="19">
          <cell r="B19" t="str">
            <v>Фонд «Югорская региональная микрокредитная компания»</v>
          </cell>
          <cell r="C19">
            <v>620.04300000000001</v>
          </cell>
          <cell r="D19">
            <v>530.59900000000005</v>
          </cell>
        </row>
        <row r="20">
          <cell r="B20" t="str">
            <v>Гринмани</v>
          </cell>
          <cell r="C20">
            <v>560.02800000000002</v>
          </cell>
          <cell r="D20">
            <v>96.048000000000002</v>
          </cell>
        </row>
        <row r="21">
          <cell r="B21" t="str">
            <v>Ставропольский краевой фонд микрофинансирования</v>
          </cell>
          <cell r="C21">
            <v>547.36599999999999</v>
          </cell>
          <cell r="D21">
            <v>464.91899999999998</v>
          </cell>
        </row>
        <row r="22">
          <cell r="B22" t="str">
            <v>Фонд «Свердловский областной фонд поддержки предпринимательства»</v>
          </cell>
          <cell r="C22">
            <v>527.1721040000001</v>
          </cell>
          <cell r="D22">
            <v>407.85053600000003</v>
          </cell>
        </row>
        <row r="23">
          <cell r="B23" t="str">
            <v>ЭйрЛоанс (Kviku)</v>
          </cell>
          <cell r="C23">
            <v>483.851</v>
          </cell>
          <cell r="D23">
            <v>76.555999999999997</v>
          </cell>
        </row>
        <row r="24">
          <cell r="B24" t="str">
            <v>ФПП Республики Мордовия</v>
          </cell>
          <cell r="C24">
            <v>463.65899999999999</v>
          </cell>
          <cell r="D24">
            <v>573.19100000000003</v>
          </cell>
        </row>
        <row r="25">
          <cell r="B25" t="str">
            <v>Микрофинансовая компания Пермского края</v>
          </cell>
          <cell r="C25">
            <v>461.495</v>
          </cell>
          <cell r="D25">
            <v>391.01499999999999</v>
          </cell>
        </row>
        <row r="26">
          <cell r="B26" t="str">
            <v>Липецкий областной фонд поддержки предпринимательства</v>
          </cell>
          <cell r="C26">
            <v>441.38720000000001</v>
          </cell>
          <cell r="D26">
            <v>420.03120000000001</v>
          </cell>
        </row>
        <row r="27">
          <cell r="B27" t="str">
            <v>Фонд микрофинансирования Орловской области</v>
          </cell>
          <cell r="C27">
            <v>429.58699999999999</v>
          </cell>
          <cell r="D27">
            <v>384.02</v>
          </cell>
        </row>
        <row r="28">
          <cell r="B28" t="str">
            <v>«АФМ» (Алтайский край)</v>
          </cell>
          <cell r="C28">
            <v>426.483</v>
          </cell>
          <cell r="D28">
            <v>358.38</v>
          </cell>
        </row>
        <row r="29">
          <cell r="B29" t="str">
            <v>ФПМП Хабаровского края</v>
          </cell>
          <cell r="C29">
            <v>423.93799999999999</v>
          </cell>
          <cell r="D29">
            <v>366.798</v>
          </cell>
        </row>
        <row r="30">
          <cell r="B30" t="str">
            <v>«АПМБ» (Республика Чувашия)</v>
          </cell>
          <cell r="C30">
            <v>419.786</v>
          </cell>
          <cell r="D30">
            <v>405.82299999999998</v>
          </cell>
        </row>
        <row r="31">
          <cell r="B31" t="str">
            <v>Фонд микрофинансирования НСО (Новосибирск)</v>
          </cell>
          <cell r="C31">
            <v>418.56900000000002</v>
          </cell>
          <cell r="D31">
            <v>426.786</v>
          </cell>
        </row>
        <row r="32">
          <cell r="B32" t="str">
            <v>Кредит 911</v>
          </cell>
          <cell r="C32">
            <v>401.37899999999996</v>
          </cell>
          <cell r="D32">
            <v>188.041</v>
          </cell>
        </row>
        <row r="33">
          <cell r="B33" t="str">
            <v>МКК Вологодской области "Фонд поддержки МСП"</v>
          </cell>
          <cell r="C33">
            <v>389.63200000000001</v>
          </cell>
          <cell r="D33">
            <v>355.35500000000002</v>
          </cell>
        </row>
        <row r="34">
          <cell r="B34" t="str">
            <v>Конга</v>
          </cell>
          <cell r="C34">
            <v>381.15699999999998</v>
          </cell>
          <cell r="D34">
            <v>91.209000000000003</v>
          </cell>
        </row>
        <row r="35">
          <cell r="B35" t="str">
            <v>Новгородский фонд поддержки малого предпринимательства</v>
          </cell>
          <cell r="C35">
            <v>356.20699999999999</v>
          </cell>
          <cell r="D35">
            <v>231.07599999999999</v>
          </cell>
        </row>
        <row r="36">
          <cell r="B36" t="str">
            <v>Камчатский государственный фонд поддержки предпринимательства</v>
          </cell>
          <cell r="C36">
            <v>329.56568099999998</v>
          </cell>
          <cell r="D36">
            <v>286.55917700000003</v>
          </cell>
        </row>
        <row r="37">
          <cell r="B37" t="str">
            <v>"АРБМКК" (бывш. КРАПМСБ, Красноярский Край)</v>
          </cell>
          <cell r="C37">
            <v>317.144701</v>
          </cell>
          <cell r="D37">
            <v>285.51299999999998</v>
          </cell>
        </row>
        <row r="38">
          <cell r="B38" t="str">
            <v xml:space="preserve">Башкирская микрокредитная компания      </v>
          </cell>
          <cell r="C38">
            <v>314.34300000000002</v>
          </cell>
          <cell r="D38">
            <v>286.70800000000003</v>
          </cell>
        </row>
        <row r="39">
          <cell r="B39" t="str">
            <v>Фонд развития предпринимательства Воронежской области</v>
          </cell>
          <cell r="C39">
            <v>305.50596000000002</v>
          </cell>
          <cell r="D39">
            <v>286.99407000000002</v>
          </cell>
        </row>
        <row r="40">
          <cell r="B40" t="str">
            <v>Экофинанс</v>
          </cell>
          <cell r="C40">
            <v>303.02647099999996</v>
          </cell>
          <cell r="D40">
            <v>157.68899999999999</v>
          </cell>
        </row>
        <row r="41">
          <cell r="B41" t="str">
            <v>Московский областной фонд развития микрофинансирования</v>
          </cell>
          <cell r="C41">
            <v>279.71800000000002</v>
          </cell>
          <cell r="D41">
            <v>262.03199999999998</v>
          </cell>
        </row>
        <row r="42">
          <cell r="B42" t="str">
            <v>Архангельский региональный фонд "Развитие"</v>
          </cell>
          <cell r="C42">
            <v>248.898</v>
          </cell>
          <cell r="D42">
            <v>214.58099999999999</v>
          </cell>
        </row>
        <row r="43">
          <cell r="B43" t="str">
            <v>Фонд поддержки МСП Ярославской области</v>
          </cell>
          <cell r="C43">
            <v>237.70477700000001</v>
          </cell>
          <cell r="D43">
            <v>201.439741</v>
          </cell>
        </row>
        <row r="44">
          <cell r="B44" t="str">
            <v>Сахалинский Фонд развития предпринимательства</v>
          </cell>
          <cell r="C44">
            <v>237.08</v>
          </cell>
          <cell r="D44">
            <v>143.429</v>
          </cell>
        </row>
        <row r="45">
          <cell r="B45" t="str">
            <v>Астраханский фонд поддержки МСП</v>
          </cell>
          <cell r="C45">
            <v>215.11810999999997</v>
          </cell>
          <cell r="D45">
            <v>219.61948000000001</v>
          </cell>
        </row>
        <row r="46">
          <cell r="B46" t="str">
            <v>Фонд микрокредитования субъектов малого предпринимательства в Саратовской области</v>
          </cell>
          <cell r="C46">
            <v>206.14500000000001</v>
          </cell>
          <cell r="D46">
            <v>171.95599999999999</v>
          </cell>
        </row>
        <row r="47">
          <cell r="B47" t="str">
            <v>Тульский областной фонд поддержки МП</v>
          </cell>
          <cell r="C47">
            <v>180.73671999999999</v>
          </cell>
          <cell r="D47">
            <v>186.86627999999999</v>
          </cell>
        </row>
        <row r="48">
          <cell r="B48" t="str">
            <v>КЦДМ (Penenza Invest)</v>
          </cell>
          <cell r="C48">
            <v>177.17967597000001</v>
          </cell>
          <cell r="D48">
            <v>109.08296410000001</v>
          </cell>
        </row>
        <row r="49">
          <cell r="B49" t="str">
            <v>ГОСФОНД Поддержки предпринимательства Кемеровской области</v>
          </cell>
          <cell r="C49">
            <v>176.30089999999998</v>
          </cell>
          <cell r="D49">
            <v>142.39070000000001</v>
          </cell>
        </row>
        <row r="50">
          <cell r="B50" t="str">
            <v>Фонд содействия МСП Тверской области</v>
          </cell>
          <cell r="C50">
            <v>167.39620199999999</v>
          </cell>
          <cell r="D50">
            <v>166.19601699999998</v>
          </cell>
        </row>
        <row r="51">
          <cell r="B51" t="str">
            <v>ФСРМСП (Владимирская область)</v>
          </cell>
          <cell r="C51">
            <v>157.65600000000001</v>
          </cell>
          <cell r="D51">
            <v>123.297</v>
          </cell>
        </row>
        <row r="52">
          <cell r="B52" t="str">
            <v>«Поручитель» (Пензенская область)</v>
          </cell>
          <cell r="C52">
            <v>138.28100000000001</v>
          </cell>
          <cell r="D52">
            <v>99.960999999999999</v>
          </cell>
        </row>
        <row r="53">
          <cell r="B53" t="str">
            <v>АРСГ МКК Нижегородской области</v>
          </cell>
          <cell r="C53">
            <v>88.415199999999999</v>
          </cell>
          <cell r="D53">
            <v>90.837249999999997</v>
          </cell>
        </row>
        <row r="54">
          <cell r="B54" t="str">
            <v>Фонд развития города Якутска</v>
          </cell>
          <cell r="C54">
            <v>85.987200000000001</v>
          </cell>
          <cell r="D54">
            <v>27.911799999999999</v>
          </cell>
        </row>
        <row r="55">
          <cell r="B55" t="str">
            <v>Фонд поддержки предпринимательства и развития конкуренции г. Таганрога</v>
          </cell>
          <cell r="C55">
            <v>67.993643000000006</v>
          </cell>
          <cell r="D55">
            <v>68.849761999999998</v>
          </cell>
        </row>
        <row r="56">
          <cell r="B56" t="str">
            <v>Подмога</v>
          </cell>
          <cell r="C56">
            <v>63.226999999999997</v>
          </cell>
          <cell r="D56">
            <v>0</v>
          </cell>
        </row>
        <row r="57">
          <cell r="B57" t="str">
            <v>Веб-займ</v>
          </cell>
          <cell r="C57">
            <v>55.246457999999997</v>
          </cell>
          <cell r="D57">
            <v>17.952000000000002</v>
          </cell>
        </row>
        <row r="58">
          <cell r="B58" t="str">
            <v>Тополь</v>
          </cell>
          <cell r="C58">
            <v>51.552</v>
          </cell>
          <cell r="D58">
            <v>40.85</v>
          </cell>
        </row>
        <row r="59">
          <cell r="B59" t="str">
            <v>Главный займ</v>
          </cell>
          <cell r="C59">
            <v>50.465000000000003</v>
          </cell>
          <cell r="D59">
            <v>29.948</v>
          </cell>
        </row>
        <row r="60">
          <cell r="B60" t="str">
            <v>Новошахтинский муниципальный фонд поддержки малого предпринимательства (Ростовская область)</v>
          </cell>
          <cell r="C60">
            <v>42.242100000000001</v>
          </cell>
          <cell r="D60">
            <v>42.335900000000002</v>
          </cell>
        </row>
        <row r="61">
          <cell r="B61" t="str">
            <v>ЦП СМСП "Сергиевский" (Самарская область)</v>
          </cell>
          <cell r="C61">
            <v>19.109000000000002</v>
          </cell>
          <cell r="D61">
            <v>11.763999999999999</v>
          </cell>
        </row>
        <row r="62">
          <cell r="B62" t="str">
            <v>Аванс</v>
          </cell>
          <cell r="C62">
            <v>18.387</v>
          </cell>
          <cell r="D62">
            <v>9.1959999999999997</v>
          </cell>
        </row>
        <row r="63">
          <cell r="B63" t="str">
            <v xml:space="preserve">Фонд ПП г. Пикалево (Ленинградская область)   </v>
          </cell>
          <cell r="C63">
            <v>13.872</v>
          </cell>
          <cell r="D63">
            <v>16.783999999999999</v>
          </cell>
        </row>
        <row r="64">
          <cell r="B64" t="str">
            <v>ФПП Калачеевского района Воронежской области</v>
          </cell>
          <cell r="C64">
            <v>11.387</v>
          </cell>
          <cell r="D64">
            <v>13.827</v>
          </cell>
        </row>
        <row r="65">
          <cell r="B65" t="str">
            <v>ФПМСП МО Заларинский район Иркурской области</v>
          </cell>
          <cell r="C65">
            <v>5.1870000000000003</v>
          </cell>
          <cell r="D65">
            <v>5.0129999999999999</v>
          </cell>
        </row>
      </sheetData>
      <sheetData sheetId="1">
        <row r="4">
          <cell r="B4" t="str">
            <v>ГК Eqvanta (в том числе Быстроденьги и Турбозайм)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"/>
      <sheetName val="Cells"/>
    </sheetNames>
    <sheetDataSet>
      <sheetData sheetId="0">
        <row r="1">
          <cell r="A1" t="str">
            <v>Имя файла</v>
          </cell>
          <cell r="B1" t="str">
            <v>МФО Алтай</v>
          </cell>
          <cell r="C1" t="str">
            <v>МФО Архангельска</v>
          </cell>
          <cell r="D1" t="str">
            <v>МФО Астрахани</v>
          </cell>
          <cell r="E1" t="str">
            <v>МФО Башкирии</v>
          </cell>
          <cell r="F1" t="str">
            <v>МФО Владимира</v>
          </cell>
          <cell r="G1" t="str">
            <v>МФО Вологодской области</v>
          </cell>
          <cell r="H1" t="str">
            <v>МФО Воронежской области</v>
          </cell>
          <cell r="I1" t="str">
            <v>МФО Забайкальского края</v>
          </cell>
          <cell r="J1" t="str">
            <v>МФО Иркутской области</v>
          </cell>
          <cell r="K1" t="str">
            <v>МФО Калининграда</v>
          </cell>
          <cell r="L1" t="str">
            <v>МФО Камчатки</v>
          </cell>
          <cell r="M1" t="str">
            <v>МФО Кемеровской области</v>
          </cell>
          <cell r="N1" t="str">
            <v>МФО Краснодарского края</v>
          </cell>
          <cell r="O1" t="str">
            <v>МФО Красноярска</v>
          </cell>
          <cell r="P1" t="str">
            <v>МФО Курганской области</v>
          </cell>
          <cell r="Q1" t="str">
            <v>МФО Курской области</v>
          </cell>
          <cell r="R1" t="str">
            <v>МФО Липецкой области</v>
          </cell>
          <cell r="S1" t="str">
            <v>МФО Мордовии</v>
          </cell>
          <cell r="T1" t="str">
            <v>МФО Ненецкого автономного округа</v>
          </cell>
          <cell r="U1" t="str">
            <v>МФО Нижнего Новгорода</v>
          </cell>
          <cell r="V1" t="str">
            <v>МФО Новгорода</v>
          </cell>
          <cell r="W1" t="str">
            <v>МФО Новосибирской обл</v>
          </cell>
          <cell r="X1" t="str">
            <v>МФО Пермского края</v>
          </cell>
          <cell r="Y1" t="str">
            <v>МФО Оренбургской области</v>
          </cell>
          <cell r="Z1" t="str">
            <v>МФО Орловской области</v>
          </cell>
          <cell r="AA1" t="str">
            <v>МФО Пензы</v>
          </cell>
          <cell r="AB1" t="str">
            <v>МФО Ростова</v>
          </cell>
          <cell r="AC1" t="str">
            <v>МФО Саратовской области</v>
          </cell>
          <cell r="AD1" t="str">
            <v>МФО Свердловской области</v>
          </cell>
          <cell r="AE1" t="str">
            <v>МФО Смоленска</v>
          </cell>
          <cell r="AF1" t="str">
            <v>МФО Ставропольского края</v>
          </cell>
          <cell r="AG1" t="str">
            <v>МФО Таганрога</v>
          </cell>
          <cell r="AH1" t="str">
            <v>МФО Тамбова</v>
          </cell>
          <cell r="AI1" t="str">
            <v>МФО Тверской области</v>
          </cell>
          <cell r="AJ1" t="str">
            <v>МФО Тульской области</v>
          </cell>
          <cell r="AK1" t="str">
            <v>МФО Удмуртии</v>
          </cell>
          <cell r="AL1" t="str">
            <v>МФО Усть-Кута</v>
          </cell>
          <cell r="AM1" t="str">
            <v>МФО Хабаровского края</v>
          </cell>
          <cell r="AN1" t="str">
            <v>МФО Чувашской Республики</v>
          </cell>
          <cell r="AO1" t="str">
            <v>МФО Югры</v>
          </cell>
          <cell r="AP1" t="str">
            <v>МФО Якутска</v>
          </cell>
          <cell r="AQ1" t="str">
            <v>МФО Ямало-Ненецкого автономного округа</v>
          </cell>
        </row>
        <row r="2">
          <cell r="A2" t="str">
            <v>Имя</v>
          </cell>
          <cell r="C2" t="str">
            <v>МКК Развитие</v>
          </cell>
          <cell r="D2" t="str">
            <v>Астраханский фонд поддержки  МСП</v>
          </cell>
          <cell r="E2" t="str">
            <v>АНО "Башкирская микрокредитная компания"</v>
          </cell>
          <cell r="F2" t="str">
            <v>МКК ФСРМСП</v>
          </cell>
          <cell r="G2" t="str">
            <v>МКК ВО "Фонд поддержки МСП"</v>
          </cell>
          <cell r="H2" t="str">
            <v>МКК ФРПВО</v>
          </cell>
          <cell r="I2" t="str">
            <v>Фонд развития промышленности Забайкальского края (микрокредитная компания)</v>
          </cell>
          <cell r="J2" t="str">
            <v>МКК "ФМК ИО"</v>
          </cell>
          <cell r="K2" t="str">
            <v>Фонд "ЦПП КО (МКК)"</v>
          </cell>
          <cell r="L2" t="str">
            <v>Камчатский государственный фонд поддержки предпринимательства</v>
          </cell>
          <cell r="M2" t="str">
            <v>МКК ГОСФОНД ППКО</v>
          </cell>
          <cell r="N2" t="str">
            <v>Фонд микрофинансирования Краснодарскогокрая</v>
          </cell>
          <cell r="O2" t="str">
            <v>АО "АРБМКК"</v>
          </cell>
          <cell r="P2" t="str">
            <v>МК "Фонд микрофинансирования Курганской области"</v>
          </cell>
          <cell r="Q2" t="str">
            <v>Ассоциация микрокредитная компания "Центр поддержки предпринимательства Курской области"</v>
          </cell>
          <cell r="R2" t="str">
            <v>НМКК "Липецкий областной фонд поддержки малого и среднего предпринимательства"</v>
          </cell>
          <cell r="S2" t="str">
            <v>МКК ФППРМ</v>
          </cell>
          <cell r="T2" t="str">
            <v>Микрокредитная компания Фонд поддержки предпринимательства и предоставления гарантий Ненецкого автономного округа</v>
          </cell>
          <cell r="U2" t="str">
            <v>АНО "АРСГ НО"</v>
          </cell>
          <cell r="V2" t="str">
            <v>Новгородский фонд поддержки малого предпринимательства (микрокредитная компания)</v>
          </cell>
          <cell r="W2" t="str">
            <v>МКК Фонд микрофинансирования НСО</v>
          </cell>
          <cell r="X2" t="str">
            <v>АО "Микрофинансовая компания Пермского края"</v>
          </cell>
          <cell r="Y2" t="str">
            <v>Некоммерческая организация «Гарантийный фонд для субъектов малого и среднего предпринимательства Оренбургской области (микрокредитная компания)»</v>
          </cell>
          <cell r="Z2" t="str">
            <v>НО МКК "ФМОО"</v>
          </cell>
          <cell r="AA2" t="str">
            <v>АО "Поручитель"</v>
          </cell>
          <cell r="AB2" t="str">
            <v>АНО "РРАПП"</v>
          </cell>
          <cell r="AC2" t="str">
            <v>ФМСО</v>
          </cell>
          <cell r="AD2" t="str">
            <v>Свердловский областной фонд поддержки предпринимательства (микрокредитая компания)</v>
          </cell>
          <cell r="AE2" t="str">
            <v>МКК СОФПП</v>
          </cell>
          <cell r="AF2" t="str">
            <v>Ставропольский краевой фонд микрофинансирования</v>
          </cell>
          <cell r="AG2" t="str">
            <v>МКК ФПП</v>
          </cell>
          <cell r="AH2" t="str">
            <v>АО МК "Фонд содействия кредитованию малого и среднего предпринимательства Тамбовской области"</v>
          </cell>
          <cell r="AI2" t="str">
            <v>Фонд содействия предпринимательству</v>
          </cell>
          <cell r="AJ2" t="str">
            <v>МКК ТОФПМП</v>
          </cell>
          <cell r="AK2" t="str">
            <v>МКК УФРП</v>
          </cell>
          <cell r="AL2" t="str">
            <v>МКК Фонд микрокредитования МСП МО "город Усть-Кут"</v>
          </cell>
          <cell r="AM2" t="str">
            <v>МКК ФПМП ХК</v>
          </cell>
          <cell r="AN2" t="str">
            <v>АНО "АПМБ"</v>
          </cell>
          <cell r="AO2" t="str">
            <v>ЮМК</v>
          </cell>
          <cell r="AP2" t="str">
            <v>МКК Фонд развития города Якутска</v>
          </cell>
          <cell r="AQ2" t="str">
            <v>Микрокредитная компания «Фонд финансовой поддержки СМП ЯНАО»</v>
          </cell>
        </row>
        <row r="3">
          <cell r="A3" t="str">
            <v>Портфель 01.07.18</v>
          </cell>
          <cell r="B3">
            <v>426483</v>
          </cell>
          <cell r="C3">
            <v>248898</v>
          </cell>
          <cell r="D3">
            <v>215118.11</v>
          </cell>
          <cell r="E3">
            <v>314343</v>
          </cell>
          <cell r="F3">
            <v>153931</v>
          </cell>
          <cell r="G3">
            <v>389632</v>
          </cell>
          <cell r="H3">
            <v>320693</v>
          </cell>
          <cell r="I3">
            <v>64868.77</v>
          </cell>
          <cell r="J3">
            <v>260446</v>
          </cell>
          <cell r="K3">
            <v>135977.73000000001</v>
          </cell>
          <cell r="L3">
            <v>329566</v>
          </cell>
          <cell r="M3">
            <v>176300.9</v>
          </cell>
          <cell r="N3">
            <v>834891.8</v>
          </cell>
          <cell r="O3">
            <v>313966.25</v>
          </cell>
          <cell r="P3">
            <v>115113</v>
          </cell>
          <cell r="Q3">
            <v>163009.64000000001</v>
          </cell>
          <cell r="R3">
            <v>427154.6</v>
          </cell>
          <cell r="S3">
            <v>463659</v>
          </cell>
          <cell r="T3">
            <v>33173.07</v>
          </cell>
          <cell r="U3">
            <v>88415</v>
          </cell>
          <cell r="V3">
            <v>356207</v>
          </cell>
          <cell r="W3">
            <v>418569</v>
          </cell>
          <cell r="X3">
            <v>461470</v>
          </cell>
          <cell r="Y3">
            <v>90075.36</v>
          </cell>
          <cell r="Z3">
            <v>429448</v>
          </cell>
          <cell r="AA3">
            <v>138281</v>
          </cell>
          <cell r="AB3">
            <v>877866</v>
          </cell>
          <cell r="AC3">
            <v>206145</v>
          </cell>
          <cell r="AD3">
            <v>527192</v>
          </cell>
          <cell r="AE3">
            <v>245780</v>
          </cell>
          <cell r="AF3">
            <v>547366</v>
          </cell>
          <cell r="AG3">
            <v>67993</v>
          </cell>
          <cell r="AH3">
            <v>53202</v>
          </cell>
          <cell r="AI3">
            <v>159785.5</v>
          </cell>
          <cell r="AJ3">
            <v>180737</v>
          </cell>
          <cell r="AK3">
            <v>753129</v>
          </cell>
          <cell r="AL3">
            <v>32255</v>
          </cell>
          <cell r="AM3">
            <v>423938</v>
          </cell>
          <cell r="AN3">
            <v>419786</v>
          </cell>
          <cell r="AO3">
            <v>620043</v>
          </cell>
          <cell r="AP3">
            <v>85987.16</v>
          </cell>
          <cell r="AQ3">
            <v>183589</v>
          </cell>
        </row>
        <row r="4">
          <cell r="A4" t="str">
            <v>Портфель 01.01.19</v>
          </cell>
          <cell r="B4">
            <v>420373</v>
          </cell>
          <cell r="C4">
            <v>266431</v>
          </cell>
          <cell r="D4">
            <v>232157.76</v>
          </cell>
          <cell r="E4">
            <v>411716</v>
          </cell>
          <cell r="F4">
            <v>156214</v>
          </cell>
          <cell r="G4">
            <v>411750</v>
          </cell>
          <cell r="H4">
            <v>334439</v>
          </cell>
          <cell r="I4">
            <v>69107.47</v>
          </cell>
          <cell r="J4">
            <v>277215</v>
          </cell>
          <cell r="K4">
            <v>152312.23000000001</v>
          </cell>
          <cell r="L4">
            <v>333966</v>
          </cell>
          <cell r="M4">
            <v>190242.5</v>
          </cell>
          <cell r="N4">
            <v>972895.6</v>
          </cell>
          <cell r="O4">
            <v>322775.93</v>
          </cell>
          <cell r="P4">
            <v>121253.29</v>
          </cell>
          <cell r="Q4">
            <v>180132.87</v>
          </cell>
          <cell r="R4">
            <v>356763.1</v>
          </cell>
          <cell r="S4">
            <v>407910</v>
          </cell>
          <cell r="T4">
            <v>45492.24</v>
          </cell>
          <cell r="U4">
            <v>139838</v>
          </cell>
          <cell r="V4">
            <v>372999</v>
          </cell>
          <cell r="W4">
            <v>409603</v>
          </cell>
          <cell r="X4">
            <v>476062</v>
          </cell>
          <cell r="Y4">
            <v>102571.14</v>
          </cell>
          <cell r="Z4">
            <v>427765</v>
          </cell>
          <cell r="AA4">
            <v>169260</v>
          </cell>
          <cell r="AB4">
            <v>1029845</v>
          </cell>
          <cell r="AC4">
            <v>192045</v>
          </cell>
          <cell r="AD4">
            <v>585413</v>
          </cell>
          <cell r="AE4">
            <v>252585</v>
          </cell>
          <cell r="AF4">
            <v>572585</v>
          </cell>
          <cell r="AG4">
            <v>71536</v>
          </cell>
          <cell r="AH4">
            <v>66577</v>
          </cell>
          <cell r="AI4">
            <v>161628</v>
          </cell>
          <cell r="AJ4">
            <v>223671</v>
          </cell>
          <cell r="AK4">
            <v>784907</v>
          </cell>
          <cell r="AL4">
            <v>33285</v>
          </cell>
          <cell r="AM4">
            <v>447494</v>
          </cell>
          <cell r="AN4">
            <v>408220</v>
          </cell>
          <cell r="AO4">
            <v>671330</v>
          </cell>
          <cell r="AP4">
            <v>110975.63</v>
          </cell>
          <cell r="AQ4">
            <v>190491</v>
          </cell>
        </row>
        <row r="5">
          <cell r="A5" t="str">
            <v>Портфель 01.07.19</v>
          </cell>
          <cell r="B5">
            <v>445375</v>
          </cell>
          <cell r="C5">
            <v>305583</v>
          </cell>
          <cell r="D5">
            <v>206241.5</v>
          </cell>
          <cell r="E5">
            <v>479809</v>
          </cell>
          <cell r="F5">
            <v>280393</v>
          </cell>
          <cell r="G5">
            <v>449792</v>
          </cell>
          <cell r="H5">
            <v>395453</v>
          </cell>
          <cell r="I5">
            <v>70476.259999999995</v>
          </cell>
          <cell r="J5">
            <v>279501</v>
          </cell>
          <cell r="K5">
            <v>189072.06</v>
          </cell>
          <cell r="L5">
            <v>361657</v>
          </cell>
          <cell r="M5">
            <v>200040.2</v>
          </cell>
          <cell r="N5">
            <v>1060708.8999999999</v>
          </cell>
          <cell r="O5">
            <v>323681.15999999997</v>
          </cell>
          <cell r="P5">
            <v>127589.82</v>
          </cell>
          <cell r="Q5">
            <v>183649.51</v>
          </cell>
          <cell r="R5">
            <v>441890.42</v>
          </cell>
          <cell r="S5">
            <v>408452</v>
          </cell>
          <cell r="T5">
            <v>60374.21</v>
          </cell>
          <cell r="U5">
            <v>172869</v>
          </cell>
          <cell r="V5">
            <v>394036</v>
          </cell>
          <cell r="W5">
            <v>501412</v>
          </cell>
          <cell r="X5">
            <v>365620</v>
          </cell>
          <cell r="Y5">
            <v>105870.39</v>
          </cell>
          <cell r="Z5">
            <v>478217</v>
          </cell>
          <cell r="AA5">
            <v>199975</v>
          </cell>
          <cell r="AB5">
            <v>1133132</v>
          </cell>
          <cell r="AC5">
            <v>252552</v>
          </cell>
          <cell r="AD5">
            <v>928499</v>
          </cell>
          <cell r="AE5">
            <v>262573</v>
          </cell>
          <cell r="AF5">
            <v>748350</v>
          </cell>
          <cell r="AG5">
            <v>67665</v>
          </cell>
          <cell r="AH5">
            <v>63335</v>
          </cell>
          <cell r="AI5">
            <v>217102</v>
          </cell>
          <cell r="AJ5">
            <v>279867</v>
          </cell>
          <cell r="AK5">
            <v>1077427</v>
          </cell>
          <cell r="AL5">
            <v>28348</v>
          </cell>
          <cell r="AM5">
            <v>455363</v>
          </cell>
          <cell r="AN5">
            <v>514120</v>
          </cell>
          <cell r="AO5">
            <v>788375</v>
          </cell>
          <cell r="AP5">
            <v>104621.94</v>
          </cell>
          <cell r="AQ5">
            <v>228297</v>
          </cell>
        </row>
        <row r="6">
          <cell r="A6" t="str">
            <v>Портфель прогноз 01.01.20</v>
          </cell>
          <cell r="B6">
            <v>400000</v>
          </cell>
          <cell r="C6">
            <v>330000</v>
          </cell>
          <cell r="D6">
            <v>325500</v>
          </cell>
          <cell r="E6">
            <v>511807</v>
          </cell>
          <cell r="F6">
            <v>350000</v>
          </cell>
          <cell r="G6">
            <v>450000</v>
          </cell>
          <cell r="H6">
            <v>325000</v>
          </cell>
          <cell r="I6">
            <v>80000</v>
          </cell>
          <cell r="J6">
            <v>400000</v>
          </cell>
          <cell r="K6">
            <v>220000</v>
          </cell>
          <cell r="L6">
            <v>400000</v>
          </cell>
          <cell r="M6">
            <v>400000</v>
          </cell>
          <cell r="O6">
            <v>330000</v>
          </cell>
          <cell r="P6">
            <v>227560</v>
          </cell>
          <cell r="Q6">
            <v>210000</v>
          </cell>
          <cell r="R6">
            <v>452000</v>
          </cell>
          <cell r="T6">
            <v>80000</v>
          </cell>
          <cell r="U6">
            <v>190000</v>
          </cell>
          <cell r="V6">
            <v>400000</v>
          </cell>
          <cell r="W6">
            <v>600000</v>
          </cell>
          <cell r="X6">
            <v>455000</v>
          </cell>
          <cell r="Y6">
            <v>130000</v>
          </cell>
          <cell r="Z6">
            <v>480000</v>
          </cell>
          <cell r="AA6">
            <v>289000</v>
          </cell>
          <cell r="AB6">
            <v>1282237</v>
          </cell>
          <cell r="AC6">
            <v>260000</v>
          </cell>
          <cell r="AD6">
            <v>1400000</v>
          </cell>
          <cell r="AE6">
            <v>360573</v>
          </cell>
          <cell r="AF6">
            <v>721241</v>
          </cell>
          <cell r="AG6">
            <v>70000</v>
          </cell>
          <cell r="AH6">
            <v>185000</v>
          </cell>
          <cell r="AI6">
            <v>235000</v>
          </cell>
          <cell r="AK6">
            <v>1300000</v>
          </cell>
          <cell r="AL6">
            <v>32500</v>
          </cell>
          <cell r="AM6">
            <v>495000</v>
          </cell>
          <cell r="AN6">
            <v>742862</v>
          </cell>
          <cell r="AO6">
            <v>950000</v>
          </cell>
          <cell r="AP6">
            <v>172711.57</v>
          </cell>
          <cell r="AQ6">
            <v>268095</v>
          </cell>
        </row>
        <row r="7">
          <cell r="A7" t="str">
            <v>Рабочий 01.07.18</v>
          </cell>
          <cell r="B7">
            <v>417349</v>
          </cell>
          <cell r="C7">
            <v>164694</v>
          </cell>
          <cell r="D7">
            <v>193949.75</v>
          </cell>
          <cell r="E7">
            <v>305037</v>
          </cell>
          <cell r="F7">
            <v>146042</v>
          </cell>
          <cell r="G7">
            <v>371550</v>
          </cell>
          <cell r="H7">
            <v>304940</v>
          </cell>
          <cell r="I7">
            <v>59137.06</v>
          </cell>
          <cell r="J7">
            <v>260010</v>
          </cell>
          <cell r="K7">
            <v>62017.2</v>
          </cell>
          <cell r="L7">
            <v>326823</v>
          </cell>
          <cell r="M7">
            <v>159101.20000000001</v>
          </cell>
          <cell r="N7">
            <v>832524.35</v>
          </cell>
          <cell r="O7">
            <v>299302.56</v>
          </cell>
          <cell r="Q7">
            <v>156902.37</v>
          </cell>
          <cell r="R7">
            <v>285945</v>
          </cell>
          <cell r="S7">
            <v>396876</v>
          </cell>
          <cell r="T7">
            <v>33173.07</v>
          </cell>
          <cell r="U7">
            <v>88251</v>
          </cell>
          <cell r="V7">
            <v>351611</v>
          </cell>
          <cell r="W7">
            <v>418241</v>
          </cell>
          <cell r="X7">
            <v>452506</v>
          </cell>
          <cell r="Y7">
            <v>89965.36</v>
          </cell>
          <cell r="Z7">
            <v>428067</v>
          </cell>
          <cell r="AA7">
            <v>136672</v>
          </cell>
          <cell r="AB7">
            <v>851088</v>
          </cell>
          <cell r="AC7">
            <v>190958</v>
          </cell>
          <cell r="AD7">
            <v>522473</v>
          </cell>
          <cell r="AE7">
            <v>241415</v>
          </cell>
          <cell r="AF7">
            <v>529843</v>
          </cell>
          <cell r="AG7">
            <v>66804</v>
          </cell>
          <cell r="AH7">
            <v>51102</v>
          </cell>
          <cell r="AI7">
            <v>156771.20000000001</v>
          </cell>
          <cell r="AJ7">
            <v>165596</v>
          </cell>
          <cell r="AK7">
            <v>742724</v>
          </cell>
          <cell r="AL7">
            <v>30248</v>
          </cell>
          <cell r="AM7">
            <v>420060</v>
          </cell>
          <cell r="AN7">
            <v>412528</v>
          </cell>
          <cell r="AO7">
            <v>590122</v>
          </cell>
          <cell r="AP7">
            <v>85987.16</v>
          </cell>
          <cell r="AQ7">
            <v>141659</v>
          </cell>
        </row>
        <row r="8">
          <cell r="A8" t="str">
            <v>Рабочий 01.01.19</v>
          </cell>
          <cell r="B8">
            <v>412385</v>
          </cell>
          <cell r="C8">
            <v>193160</v>
          </cell>
          <cell r="D8">
            <v>218456.86</v>
          </cell>
          <cell r="E8">
            <v>404973</v>
          </cell>
          <cell r="F8">
            <v>148825</v>
          </cell>
          <cell r="G8">
            <v>390997</v>
          </cell>
          <cell r="H8">
            <v>314317</v>
          </cell>
          <cell r="I8">
            <v>60476.45</v>
          </cell>
          <cell r="J8">
            <v>277215</v>
          </cell>
          <cell r="K8">
            <v>77897.66</v>
          </cell>
          <cell r="L8">
            <v>327791</v>
          </cell>
          <cell r="M8">
            <v>180830.4</v>
          </cell>
          <cell r="N8">
            <v>970377.64</v>
          </cell>
          <cell r="O8">
            <v>310845.5</v>
          </cell>
          <cell r="Q8">
            <v>175342.01</v>
          </cell>
          <cell r="R8">
            <v>351528</v>
          </cell>
          <cell r="S8">
            <v>334217</v>
          </cell>
          <cell r="T8">
            <v>45492.24</v>
          </cell>
          <cell r="U8">
            <v>135991</v>
          </cell>
          <cell r="V8">
            <v>367531</v>
          </cell>
          <cell r="W8">
            <v>409125</v>
          </cell>
          <cell r="X8">
            <v>431744</v>
          </cell>
          <cell r="Y8">
            <v>102571.14</v>
          </cell>
          <cell r="Z8">
            <v>425547</v>
          </cell>
          <cell r="AA8">
            <v>167953</v>
          </cell>
          <cell r="AB8">
            <v>1009311</v>
          </cell>
          <cell r="AC8">
            <v>183393</v>
          </cell>
          <cell r="AD8">
            <v>579405</v>
          </cell>
          <cell r="AE8">
            <v>251006</v>
          </cell>
          <cell r="AF8">
            <v>551546</v>
          </cell>
          <cell r="AG8">
            <v>70347</v>
          </cell>
          <cell r="AH8">
            <v>60661</v>
          </cell>
          <cell r="AI8">
            <v>159243</v>
          </cell>
          <cell r="AJ8">
            <v>213519</v>
          </cell>
          <cell r="AK8">
            <v>779867</v>
          </cell>
          <cell r="AL8">
            <v>30988</v>
          </cell>
          <cell r="AM8">
            <v>445534</v>
          </cell>
          <cell r="AN8">
            <v>400621</v>
          </cell>
          <cell r="AO8">
            <v>651487</v>
          </cell>
          <cell r="AP8">
            <v>110975.63</v>
          </cell>
          <cell r="AQ8">
            <v>176758</v>
          </cell>
        </row>
        <row r="9">
          <cell r="A9" t="str">
            <v>Рабочий 01.07.19</v>
          </cell>
          <cell r="B9">
            <v>436059</v>
          </cell>
          <cell r="C9">
            <v>248450</v>
          </cell>
          <cell r="D9">
            <v>196017.72</v>
          </cell>
          <cell r="E9">
            <v>474609</v>
          </cell>
          <cell r="F9">
            <v>275001</v>
          </cell>
          <cell r="G9">
            <v>423305</v>
          </cell>
          <cell r="H9">
            <v>374925</v>
          </cell>
          <cell r="I9">
            <v>62874.09</v>
          </cell>
          <cell r="J9">
            <v>277180</v>
          </cell>
          <cell r="K9">
            <v>115366.29</v>
          </cell>
          <cell r="L9">
            <v>357765</v>
          </cell>
          <cell r="M9">
            <v>181586.2</v>
          </cell>
          <cell r="N9">
            <v>1056338.46</v>
          </cell>
          <cell r="O9">
            <v>310752.15999999997</v>
          </cell>
          <cell r="Q9">
            <v>178559.16</v>
          </cell>
          <cell r="R9">
            <v>396351.5</v>
          </cell>
          <cell r="S9">
            <v>342229</v>
          </cell>
          <cell r="T9">
            <v>60374.21</v>
          </cell>
          <cell r="U9">
            <v>165633</v>
          </cell>
          <cell r="V9">
            <v>384447</v>
          </cell>
          <cell r="W9">
            <v>501060</v>
          </cell>
          <cell r="X9">
            <v>346724</v>
          </cell>
          <cell r="Y9">
            <v>105870.39</v>
          </cell>
          <cell r="Z9">
            <v>475810</v>
          </cell>
          <cell r="AA9">
            <v>198020</v>
          </cell>
          <cell r="AB9">
            <v>1115448</v>
          </cell>
          <cell r="AC9">
            <v>237301</v>
          </cell>
          <cell r="AD9">
            <v>923470</v>
          </cell>
          <cell r="AE9">
            <v>257243</v>
          </cell>
          <cell r="AF9">
            <v>727721</v>
          </cell>
          <cell r="AG9">
            <v>66559</v>
          </cell>
          <cell r="AH9">
            <v>56917</v>
          </cell>
          <cell r="AI9">
            <v>210084</v>
          </cell>
          <cell r="AJ9">
            <v>276197</v>
          </cell>
          <cell r="AK9">
            <v>1057080</v>
          </cell>
          <cell r="AL9">
            <v>25249</v>
          </cell>
          <cell r="AM9">
            <v>450767</v>
          </cell>
          <cell r="AN9">
            <v>506294</v>
          </cell>
          <cell r="AO9">
            <v>767989</v>
          </cell>
          <cell r="AP9">
            <v>104621.94</v>
          </cell>
          <cell r="AQ9">
            <v>219528</v>
          </cell>
        </row>
        <row r="10">
          <cell r="A10" t="str">
            <v>Займы 01.07.18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7328</v>
          </cell>
          <cell r="G10">
            <v>64720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26324</v>
          </cell>
          <cell r="M10">
            <v>1220</v>
          </cell>
          <cell r="N10">
            <v>0</v>
          </cell>
          <cell r="O10">
            <v>18384.88</v>
          </cell>
          <cell r="P10">
            <v>0</v>
          </cell>
          <cell r="Q10">
            <v>0</v>
          </cell>
          <cell r="R10">
            <v>63194.6</v>
          </cell>
          <cell r="S10">
            <v>0</v>
          </cell>
          <cell r="T10">
            <v>0</v>
          </cell>
          <cell r="U10">
            <v>0</v>
          </cell>
          <cell r="V10">
            <v>1074</v>
          </cell>
          <cell r="W10">
            <v>0</v>
          </cell>
          <cell r="X10">
            <v>37039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93649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7610.5</v>
          </cell>
          <cell r="AJ10">
            <v>0</v>
          </cell>
          <cell r="AK10">
            <v>22500</v>
          </cell>
          <cell r="AL10">
            <v>0</v>
          </cell>
          <cell r="AM10">
            <v>18495</v>
          </cell>
          <cell r="AN10">
            <v>16105</v>
          </cell>
          <cell r="AO10">
            <v>0</v>
          </cell>
          <cell r="AP10">
            <v>0</v>
          </cell>
          <cell r="AQ10">
            <v>277306</v>
          </cell>
        </row>
        <row r="11">
          <cell r="A11" t="str">
            <v>Займы 01.01.19</v>
          </cell>
          <cell r="C11">
            <v>0</v>
          </cell>
          <cell r="D11">
            <v>0</v>
          </cell>
          <cell r="E11">
            <v>0</v>
          </cell>
          <cell r="F11">
            <v>4742</v>
          </cell>
          <cell r="G11">
            <v>67006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18548</v>
          </cell>
          <cell r="M11">
            <v>506</v>
          </cell>
          <cell r="N11">
            <v>0</v>
          </cell>
          <cell r="O11">
            <v>5420.12</v>
          </cell>
          <cell r="P11">
            <v>0</v>
          </cell>
          <cell r="Q11">
            <v>0</v>
          </cell>
          <cell r="R11">
            <v>71845.7</v>
          </cell>
          <cell r="S11">
            <v>0</v>
          </cell>
          <cell r="T11">
            <v>0</v>
          </cell>
          <cell r="U11">
            <v>0</v>
          </cell>
          <cell r="V11">
            <v>1070</v>
          </cell>
          <cell r="W11">
            <v>0</v>
          </cell>
          <cell r="X11">
            <v>29384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205527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6021</v>
          </cell>
          <cell r="AJ11">
            <v>0</v>
          </cell>
          <cell r="AK11">
            <v>71164</v>
          </cell>
          <cell r="AL11">
            <v>0</v>
          </cell>
          <cell r="AM11">
            <v>9253</v>
          </cell>
          <cell r="AN11">
            <v>12486</v>
          </cell>
          <cell r="AO11">
            <v>0</v>
          </cell>
          <cell r="AP11">
            <v>0</v>
          </cell>
          <cell r="AQ11">
            <v>206870</v>
          </cell>
        </row>
        <row r="12">
          <cell r="A12" t="str">
            <v>Займы 01.07.19</v>
          </cell>
          <cell r="C12">
            <v>0</v>
          </cell>
          <cell r="D12">
            <v>0</v>
          </cell>
          <cell r="E12">
            <v>0</v>
          </cell>
          <cell r="F12">
            <v>2156</v>
          </cell>
          <cell r="G12">
            <v>50933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12177</v>
          </cell>
          <cell r="M12">
            <v>503.4</v>
          </cell>
          <cell r="N12">
            <v>0</v>
          </cell>
          <cell r="O12">
            <v>4520.12</v>
          </cell>
          <cell r="P12">
            <v>0</v>
          </cell>
          <cell r="Q12">
            <v>0</v>
          </cell>
          <cell r="R12">
            <v>63235.4</v>
          </cell>
          <cell r="S12">
            <v>0</v>
          </cell>
          <cell r="T12">
            <v>0</v>
          </cell>
          <cell r="U12">
            <v>0</v>
          </cell>
          <cell r="V12">
            <v>1066</v>
          </cell>
          <cell r="W12">
            <v>0</v>
          </cell>
          <cell r="X12">
            <v>23887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220207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4438</v>
          </cell>
          <cell r="AJ12">
            <v>0</v>
          </cell>
          <cell r="AK12">
            <v>69167</v>
          </cell>
          <cell r="AL12">
            <v>0</v>
          </cell>
          <cell r="AM12">
            <v>4088</v>
          </cell>
          <cell r="AN12">
            <v>9027</v>
          </cell>
          <cell r="AO12">
            <v>0</v>
          </cell>
          <cell r="AP12">
            <v>0</v>
          </cell>
          <cell r="AQ12">
            <v>181870</v>
          </cell>
        </row>
        <row r="13">
          <cell r="A13" t="str">
            <v>Выдачи_1пг18</v>
          </cell>
          <cell r="B13">
            <v>299870.5</v>
          </cell>
          <cell r="C13">
            <v>100384</v>
          </cell>
          <cell r="D13">
            <v>61877</v>
          </cell>
          <cell r="E13">
            <v>126700</v>
          </cell>
          <cell r="F13">
            <v>48875</v>
          </cell>
          <cell r="G13">
            <v>123317</v>
          </cell>
          <cell r="H13">
            <v>156110</v>
          </cell>
          <cell r="I13">
            <v>19200</v>
          </cell>
          <cell r="J13">
            <v>130555</v>
          </cell>
          <cell r="K13">
            <v>24440</v>
          </cell>
          <cell r="L13">
            <v>127441</v>
          </cell>
          <cell r="M13">
            <v>46465</v>
          </cell>
          <cell r="N13">
            <v>362194.1</v>
          </cell>
          <cell r="O13">
            <v>152882</v>
          </cell>
          <cell r="P13">
            <v>48991.9</v>
          </cell>
          <cell r="Q13">
            <v>61295</v>
          </cell>
          <cell r="R13">
            <v>285945</v>
          </cell>
          <cell r="S13">
            <v>90579</v>
          </cell>
          <cell r="T13">
            <v>18326.32</v>
          </cell>
          <cell r="U13">
            <v>39442</v>
          </cell>
          <cell r="V13">
            <v>190735</v>
          </cell>
          <cell r="W13">
            <v>198690</v>
          </cell>
          <cell r="X13">
            <v>172577</v>
          </cell>
          <cell r="Y13">
            <v>32194</v>
          </cell>
          <cell r="Z13">
            <v>216385</v>
          </cell>
          <cell r="AA13">
            <v>61920</v>
          </cell>
          <cell r="AB13">
            <v>323455</v>
          </cell>
          <cell r="AC13">
            <v>88030</v>
          </cell>
          <cell r="AD13">
            <v>203078</v>
          </cell>
          <cell r="AE13">
            <v>151570</v>
          </cell>
          <cell r="AF13">
            <v>259420</v>
          </cell>
          <cell r="AG13">
            <v>49394</v>
          </cell>
          <cell r="AH13">
            <v>14520</v>
          </cell>
          <cell r="AI13">
            <v>94085</v>
          </cell>
          <cell r="AJ13">
            <v>53970</v>
          </cell>
          <cell r="AK13">
            <v>295029</v>
          </cell>
          <cell r="AL13">
            <v>23275</v>
          </cell>
          <cell r="AM13">
            <v>181473</v>
          </cell>
          <cell r="AN13">
            <v>242227</v>
          </cell>
          <cell r="AO13">
            <v>227022</v>
          </cell>
          <cell r="AP13">
            <v>68200</v>
          </cell>
          <cell r="AQ13">
            <v>42721</v>
          </cell>
        </row>
        <row r="14">
          <cell r="A14" t="str">
            <v>Выдачи_18</v>
          </cell>
          <cell r="B14">
            <v>551401.5</v>
          </cell>
          <cell r="C14">
            <v>196334</v>
          </cell>
          <cell r="D14">
            <v>158423.31</v>
          </cell>
          <cell r="E14">
            <v>404075</v>
          </cell>
          <cell r="F14">
            <v>100115</v>
          </cell>
          <cell r="G14">
            <v>284187</v>
          </cell>
          <cell r="H14">
            <v>308371</v>
          </cell>
          <cell r="I14">
            <v>45900</v>
          </cell>
          <cell r="J14">
            <v>302017</v>
          </cell>
          <cell r="K14">
            <v>68520</v>
          </cell>
          <cell r="L14">
            <v>254859</v>
          </cell>
          <cell r="M14">
            <v>122653.4</v>
          </cell>
          <cell r="N14">
            <v>906915.9</v>
          </cell>
          <cell r="O14">
            <v>301987</v>
          </cell>
          <cell r="P14">
            <v>89161.9</v>
          </cell>
          <cell r="Q14">
            <v>134955.6</v>
          </cell>
          <cell r="R14">
            <v>480430</v>
          </cell>
          <cell r="S14">
            <v>191261</v>
          </cell>
          <cell r="T14">
            <v>49339.72</v>
          </cell>
          <cell r="U14">
            <v>144229</v>
          </cell>
          <cell r="V14">
            <v>398224</v>
          </cell>
          <cell r="W14">
            <v>404650</v>
          </cell>
          <cell r="X14">
            <v>325775</v>
          </cell>
          <cell r="Y14">
            <v>94827.54</v>
          </cell>
          <cell r="Z14">
            <v>505557</v>
          </cell>
          <cell r="AA14">
            <v>159925</v>
          </cell>
          <cell r="AB14">
            <v>813347</v>
          </cell>
          <cell r="AC14">
            <v>171276</v>
          </cell>
          <cell r="AD14">
            <v>543099</v>
          </cell>
          <cell r="AE14">
            <v>305858</v>
          </cell>
          <cell r="AF14">
            <v>622565</v>
          </cell>
          <cell r="AG14">
            <v>97412</v>
          </cell>
          <cell r="AH14">
            <v>39645</v>
          </cell>
          <cell r="AI14">
            <v>209936</v>
          </cell>
          <cell r="AJ14">
            <v>193430</v>
          </cell>
          <cell r="AK14">
            <v>660975</v>
          </cell>
          <cell r="AL14">
            <v>47535</v>
          </cell>
          <cell r="AM14">
            <v>404009</v>
          </cell>
          <cell r="AN14">
            <v>495227</v>
          </cell>
          <cell r="AO14">
            <v>498842</v>
          </cell>
          <cell r="AP14">
            <v>115950</v>
          </cell>
          <cell r="AQ14">
            <v>113827</v>
          </cell>
        </row>
        <row r="15">
          <cell r="A15" t="str">
            <v>Выдачи_1пг19</v>
          </cell>
          <cell r="B15">
            <v>263036</v>
          </cell>
          <cell r="C15">
            <v>99362</v>
          </cell>
          <cell r="D15">
            <v>68095.5</v>
          </cell>
          <cell r="E15">
            <v>231205</v>
          </cell>
          <cell r="F15">
            <v>180170</v>
          </cell>
          <cell r="G15">
            <v>178907</v>
          </cell>
          <cell r="H15">
            <v>203000</v>
          </cell>
          <cell r="I15">
            <v>23965</v>
          </cell>
          <cell r="J15">
            <v>138335</v>
          </cell>
          <cell r="K15">
            <v>62090</v>
          </cell>
          <cell r="L15">
            <v>143416</v>
          </cell>
          <cell r="M15">
            <v>59615</v>
          </cell>
          <cell r="N15">
            <v>367951.2</v>
          </cell>
          <cell r="O15">
            <v>137181</v>
          </cell>
          <cell r="P15">
            <v>30200</v>
          </cell>
          <cell r="Q15">
            <v>69012</v>
          </cell>
          <cell r="R15">
            <v>265240</v>
          </cell>
          <cell r="S15">
            <v>132768</v>
          </cell>
          <cell r="T15">
            <v>29527.86</v>
          </cell>
          <cell r="U15">
            <v>80877</v>
          </cell>
          <cell r="V15">
            <v>205047</v>
          </cell>
          <cell r="W15">
            <v>286276</v>
          </cell>
          <cell r="X15">
            <v>57301</v>
          </cell>
          <cell r="Y15">
            <v>51578</v>
          </cell>
          <cell r="Z15">
            <v>236022</v>
          </cell>
          <cell r="AA15">
            <v>101928</v>
          </cell>
          <cell r="AB15">
            <v>423947</v>
          </cell>
          <cell r="AC15">
            <v>124829</v>
          </cell>
          <cell r="AD15">
            <v>547474</v>
          </cell>
          <cell r="AE15">
            <v>143178</v>
          </cell>
          <cell r="AF15">
            <v>365305</v>
          </cell>
          <cell r="AG15">
            <v>41800</v>
          </cell>
          <cell r="AH15">
            <v>19170</v>
          </cell>
          <cell r="AI15">
            <v>154934</v>
          </cell>
          <cell r="AJ15">
            <v>141560</v>
          </cell>
          <cell r="AK15">
            <v>338040</v>
          </cell>
          <cell r="AL15">
            <v>19840</v>
          </cell>
          <cell r="AM15">
            <v>193637</v>
          </cell>
          <cell r="AN15">
            <v>294715</v>
          </cell>
          <cell r="AO15">
            <v>347347</v>
          </cell>
          <cell r="AP15">
            <v>18110</v>
          </cell>
          <cell r="AQ15">
            <v>104499</v>
          </cell>
        </row>
        <row r="16">
          <cell r="A16" t="str">
            <v>Выдачи_ПРОГНОЗ_19</v>
          </cell>
          <cell r="B16">
            <v>500425</v>
          </cell>
          <cell r="C16">
            <v>210000</v>
          </cell>
          <cell r="D16">
            <v>221000</v>
          </cell>
          <cell r="E16">
            <v>511807</v>
          </cell>
          <cell r="F16">
            <v>280000</v>
          </cell>
          <cell r="G16">
            <v>300000</v>
          </cell>
          <cell r="H16">
            <v>280000</v>
          </cell>
          <cell r="I16">
            <v>50000</v>
          </cell>
          <cell r="J16">
            <v>378000</v>
          </cell>
          <cell r="K16">
            <v>105000</v>
          </cell>
          <cell r="L16">
            <v>295000</v>
          </cell>
          <cell r="M16">
            <v>290000</v>
          </cell>
          <cell r="O16">
            <v>360000</v>
          </cell>
          <cell r="P16">
            <v>103650</v>
          </cell>
          <cell r="Q16">
            <v>165000</v>
          </cell>
          <cell r="R16">
            <v>520000</v>
          </cell>
          <cell r="T16">
            <v>65000</v>
          </cell>
          <cell r="U16">
            <v>160000</v>
          </cell>
          <cell r="V16">
            <v>400000</v>
          </cell>
          <cell r="W16">
            <v>550000</v>
          </cell>
          <cell r="X16">
            <v>405000</v>
          </cell>
          <cell r="Y16">
            <v>120000</v>
          </cell>
          <cell r="Z16">
            <v>530000</v>
          </cell>
          <cell r="AA16">
            <v>294000</v>
          </cell>
          <cell r="AB16">
            <v>935349</v>
          </cell>
          <cell r="AC16">
            <v>155000</v>
          </cell>
          <cell r="AD16">
            <v>1200000</v>
          </cell>
          <cell r="AE16">
            <v>405000</v>
          </cell>
          <cell r="AF16">
            <v>723785</v>
          </cell>
          <cell r="AG16">
            <v>97500</v>
          </cell>
          <cell r="AH16">
            <v>160000</v>
          </cell>
          <cell r="AI16">
            <v>100000</v>
          </cell>
          <cell r="AK16">
            <v>980000</v>
          </cell>
          <cell r="AL16">
            <v>45000</v>
          </cell>
          <cell r="AM16">
            <v>410000</v>
          </cell>
          <cell r="AN16">
            <v>714430</v>
          </cell>
          <cell r="AO16">
            <v>520000</v>
          </cell>
          <cell r="AP16">
            <v>118162.5</v>
          </cell>
          <cell r="AQ16">
            <v>174499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65225-D0F8-4B4C-A80A-DC38F3B27926}">
  <sheetPr codeName="Лист1">
    <tabColor theme="4" tint="0.59999389629810485"/>
  </sheetPr>
  <dimension ref="A1:Y77"/>
  <sheetViews>
    <sheetView workbookViewId="0">
      <selection activeCell="M28" sqref="M28"/>
    </sheetView>
  </sheetViews>
  <sheetFormatPr defaultColWidth="9.140625" defaultRowHeight="15" x14ac:dyDescent="0.25"/>
  <cols>
    <col min="1" max="1" width="9.140625" style="19"/>
    <col min="2" max="2" width="40.7109375" style="50" customWidth="1"/>
    <col min="3" max="4" width="15.7109375" style="57" customWidth="1"/>
    <col min="5" max="5" width="12.42578125" style="57" customWidth="1"/>
    <col min="6" max="6" width="13.7109375" style="100" bestFit="1" customWidth="1"/>
    <col min="7" max="11" width="9.140625" style="45"/>
    <col min="12" max="12" width="11" style="45" bestFit="1" customWidth="1"/>
    <col min="13" max="13" width="10" style="45" customWidth="1"/>
    <col min="14" max="16384" width="9.140625" style="45"/>
  </cols>
  <sheetData>
    <row r="1" spans="1:25" x14ac:dyDescent="0.25">
      <c r="A1" s="20" t="s">
        <v>99</v>
      </c>
    </row>
    <row r="2" spans="1:25" s="11" customFormat="1" ht="33.75" x14ac:dyDescent="0.25">
      <c r="A2" s="104" t="s">
        <v>88</v>
      </c>
      <c r="B2" s="105" t="s">
        <v>0</v>
      </c>
      <c r="C2" s="104" t="s">
        <v>89</v>
      </c>
      <c r="D2" s="104" t="s">
        <v>90</v>
      </c>
      <c r="E2" s="106" t="s">
        <v>28</v>
      </c>
      <c r="F2" s="101"/>
      <c r="G2" s="12"/>
      <c r="H2" s="12"/>
      <c r="I2" s="12"/>
      <c r="J2" s="12"/>
      <c r="L2" s="50"/>
      <c r="M2" s="57"/>
      <c r="N2" s="57"/>
      <c r="O2" s="57"/>
      <c r="P2" s="45"/>
      <c r="Q2" s="45"/>
      <c r="R2" s="45"/>
      <c r="S2" s="45"/>
      <c r="T2" s="12"/>
      <c r="U2" s="12"/>
      <c r="V2" s="12"/>
      <c r="W2" s="13"/>
      <c r="X2" s="12"/>
      <c r="Y2" s="12"/>
    </row>
    <row r="3" spans="1:25" x14ac:dyDescent="0.25">
      <c r="A3" s="30">
        <v>1</v>
      </c>
      <c r="B3" s="54" t="s">
        <v>15</v>
      </c>
      <c r="C3" s="55">
        <v>4384.4870000000001</v>
      </c>
      <c r="D3" s="55">
        <v>3678.1840000000002</v>
      </c>
      <c r="E3" s="55">
        <f>100*(C3/D3-1)</f>
        <v>19.20249231686071</v>
      </c>
      <c r="F3" s="100">
        <v>7715825027</v>
      </c>
      <c r="K3" s="45">
        <f>VLOOKUP(B3,'[1]Таблица 1'!$B$4:$D$65,2,FALSE)</f>
        <v>3678.1840000000002</v>
      </c>
      <c r="M3" s="46">
        <f>D3-K3</f>
        <v>0</v>
      </c>
      <c r="N3" s="45">
        <f>100*(D3/K3-1)</f>
        <v>0</v>
      </c>
    </row>
    <row r="4" spans="1:25" x14ac:dyDescent="0.25">
      <c r="A4" s="30">
        <v>2</v>
      </c>
      <c r="B4" s="54" t="s">
        <v>19</v>
      </c>
      <c r="C4" s="55">
        <v>4148.0680000000002</v>
      </c>
      <c r="D4" s="55">
        <v>2327.527</v>
      </c>
      <c r="E4" s="55">
        <f>100*(C4/D4-1)</f>
        <v>78.217825185271764</v>
      </c>
      <c r="F4" s="100">
        <v>7704784072</v>
      </c>
      <c r="K4" s="45" t="e">
        <f>VLOOKUP(B4,'[1]Таблица 1'!$B$4:$D$65,2,FALSE)</f>
        <v>#N/A</v>
      </c>
      <c r="M4" s="46" t="e">
        <f t="shared" ref="M4:M67" si="0">D4-K4</f>
        <v>#N/A</v>
      </c>
      <c r="N4" s="45" t="e">
        <f t="shared" ref="N4:N67" si="1">100*(D4/K4-1)</f>
        <v>#N/A</v>
      </c>
    </row>
    <row r="5" spans="1:25" x14ac:dyDescent="0.25">
      <c r="A5" s="30">
        <v>3</v>
      </c>
      <c r="B5" s="54" t="s">
        <v>8</v>
      </c>
      <c r="C5" s="55">
        <v>4061.3689999999997</v>
      </c>
      <c r="D5" s="55">
        <v>1603.0630000000001</v>
      </c>
      <c r="E5" s="55">
        <f>100*(C5/D5-1)</f>
        <v>153.35055453216745</v>
      </c>
      <c r="F5" s="100">
        <v>4205271785</v>
      </c>
      <c r="K5" s="45">
        <f>VLOOKUP(B5,'[1]Таблица 1'!$B$4:$D$65,2,FALSE)</f>
        <v>1603.0630000000001</v>
      </c>
      <c r="M5" s="46">
        <f t="shared" si="0"/>
        <v>0</v>
      </c>
      <c r="N5" s="45">
        <f t="shared" si="1"/>
        <v>0</v>
      </c>
    </row>
    <row r="6" spans="1:25" x14ac:dyDescent="0.25">
      <c r="A6" s="30">
        <v>4</v>
      </c>
      <c r="B6" s="54" t="s">
        <v>113</v>
      </c>
      <c r="C6" s="55">
        <v>3013.2289873499999</v>
      </c>
      <c r="D6" s="55">
        <v>3582.1256507399999</v>
      </c>
      <c r="E6" s="55">
        <v>-15.881538473461321</v>
      </c>
      <c r="F6" s="100" t="s">
        <v>114</v>
      </c>
      <c r="K6" s="45" t="e">
        <f>VLOOKUP(B6,'[1]Таблица 1'!$B$4:$D$65,2,FALSE)</f>
        <v>#N/A</v>
      </c>
      <c r="M6" s="46" t="e">
        <f t="shared" si="0"/>
        <v>#N/A</v>
      </c>
      <c r="N6" s="45" t="e">
        <f t="shared" si="1"/>
        <v>#N/A</v>
      </c>
    </row>
    <row r="7" spans="1:25" x14ac:dyDescent="0.25">
      <c r="A7" s="30">
        <v>5</v>
      </c>
      <c r="B7" s="54" t="s">
        <v>223</v>
      </c>
      <c r="C7" s="55">
        <v>2821.9570000000003</v>
      </c>
      <c r="D7" s="55">
        <v>1547.5530000000001</v>
      </c>
      <c r="E7" s="55">
        <f>100*(C7/D7-1)</f>
        <v>82.349619043741967</v>
      </c>
      <c r="F7" s="100" t="s">
        <v>18</v>
      </c>
      <c r="K7" s="45" t="e">
        <f>VLOOKUP(B7,'[1]Таблица 1'!$B$4:$D$65,2,FALSE)</f>
        <v>#N/A</v>
      </c>
      <c r="M7" s="46" t="e">
        <f t="shared" si="0"/>
        <v>#N/A</v>
      </c>
      <c r="N7" s="45" t="e">
        <f t="shared" si="1"/>
        <v>#N/A</v>
      </c>
    </row>
    <row r="8" spans="1:25" x14ac:dyDescent="0.25">
      <c r="A8" s="30">
        <v>6</v>
      </c>
      <c r="B8" s="54" t="s">
        <v>215</v>
      </c>
      <c r="C8" s="55">
        <v>2640.3939999999998</v>
      </c>
      <c r="D8" s="55">
        <v>2027.6679999999999</v>
      </c>
      <c r="E8" s="55">
        <f>100*(C8/D8-1)</f>
        <v>30.218260583093471</v>
      </c>
      <c r="F8" s="100">
        <v>7730634468</v>
      </c>
      <c r="K8" s="45">
        <f>VLOOKUP(B8,'[1]Таблица 1'!$B$4:$D$65,2,FALSE)</f>
        <v>2027.6679999999999</v>
      </c>
      <c r="M8" s="46">
        <f t="shared" si="0"/>
        <v>0</v>
      </c>
      <c r="N8" s="45">
        <f t="shared" si="1"/>
        <v>0</v>
      </c>
    </row>
    <row r="9" spans="1:25" x14ac:dyDescent="0.25">
      <c r="A9" s="30">
        <v>7</v>
      </c>
      <c r="B9" s="54" t="s">
        <v>213</v>
      </c>
      <c r="C9" s="55">
        <v>2305.3090000000002</v>
      </c>
      <c r="D9" s="55">
        <v>1683.0630000000001</v>
      </c>
      <c r="E9" s="55">
        <v>15.964309785789354</v>
      </c>
      <c r="F9" s="100" t="s">
        <v>214</v>
      </c>
      <c r="K9" s="45" t="e">
        <f>VLOOKUP(B9,'[1]Таблица 1'!$B$4:$D$65,2,FALSE)</f>
        <v>#N/A</v>
      </c>
      <c r="M9" s="46" t="e">
        <f t="shared" si="0"/>
        <v>#N/A</v>
      </c>
      <c r="N9" s="45" t="e">
        <f t="shared" si="1"/>
        <v>#N/A</v>
      </c>
    </row>
    <row r="10" spans="1:25" x14ac:dyDescent="0.25">
      <c r="A10" s="30">
        <v>8</v>
      </c>
      <c r="B10" s="54" t="s">
        <v>217</v>
      </c>
      <c r="C10" s="55">
        <v>1868.3579999999999</v>
      </c>
      <c r="D10" s="55">
        <v>1178.9742298899985</v>
      </c>
      <c r="E10" s="55">
        <f t="shared" ref="E10:E28" si="2">100*(C10/D10-1)</f>
        <v>58.473183945193007</v>
      </c>
      <c r="F10" s="100">
        <v>5410059568</v>
      </c>
      <c r="K10" s="45" t="e">
        <f>VLOOKUP(B10,'[1]Таблица 1'!$B$4:$D$65,2,FALSE)</f>
        <v>#N/A</v>
      </c>
      <c r="M10" s="46" t="e">
        <f t="shared" si="0"/>
        <v>#N/A</v>
      </c>
      <c r="N10" s="45" t="e">
        <f t="shared" si="1"/>
        <v>#N/A</v>
      </c>
    </row>
    <row r="11" spans="1:25" x14ac:dyDescent="0.25">
      <c r="A11" s="30">
        <v>9</v>
      </c>
      <c r="B11" s="54" t="s">
        <v>218</v>
      </c>
      <c r="C11" s="55">
        <v>1490.2879999999998</v>
      </c>
      <c r="D11" s="55">
        <v>596.33100000000002</v>
      </c>
      <c r="E11" s="55">
        <f t="shared" si="2"/>
        <v>149.90953010995568</v>
      </c>
      <c r="F11" s="100" t="s">
        <v>111</v>
      </c>
      <c r="K11" s="45" t="e">
        <f>VLOOKUP(B11,'[1]Таблица 1'!$B$4:$D$65,2,FALSE)</f>
        <v>#N/A</v>
      </c>
      <c r="M11" s="46" t="e">
        <f t="shared" si="0"/>
        <v>#N/A</v>
      </c>
      <c r="N11" s="45" t="e">
        <f t="shared" si="1"/>
        <v>#N/A</v>
      </c>
    </row>
    <row r="12" spans="1:25" x14ac:dyDescent="0.25">
      <c r="A12" s="30">
        <v>10</v>
      </c>
      <c r="B12" s="54" t="s">
        <v>216</v>
      </c>
      <c r="C12" s="55">
        <v>1428.318</v>
      </c>
      <c r="D12" s="55">
        <v>999.61800000000005</v>
      </c>
      <c r="E12" s="55">
        <f t="shared" si="2"/>
        <v>42.886382598152494</v>
      </c>
      <c r="F12" s="100">
        <v>7733812126</v>
      </c>
      <c r="K12" s="45">
        <f>VLOOKUP(B12,'[1]Таблица 1'!$B$4:$D$65,2,FALSE)</f>
        <v>1178.701</v>
      </c>
      <c r="M12" s="46">
        <f t="shared" si="0"/>
        <v>-179.08299999999997</v>
      </c>
      <c r="N12" s="45">
        <f t="shared" si="1"/>
        <v>-15.193250875328001</v>
      </c>
    </row>
    <row r="13" spans="1:25" x14ac:dyDescent="0.25">
      <c r="A13" s="30">
        <v>11</v>
      </c>
      <c r="B13" s="54" t="s">
        <v>168</v>
      </c>
      <c r="C13" s="55">
        <v>1399.8431500000002</v>
      </c>
      <c r="D13" s="55">
        <v>1096.1968900000002</v>
      </c>
      <c r="E13" s="55">
        <f t="shared" si="2"/>
        <v>27.699974591243361</v>
      </c>
      <c r="F13" s="100" t="s">
        <v>12</v>
      </c>
      <c r="K13" s="45" t="e">
        <f>VLOOKUP(B13,'[1]Таблица 1'!$B$4:$D$65,2,FALSE)</f>
        <v>#N/A</v>
      </c>
      <c r="M13" s="46" t="e">
        <f t="shared" si="0"/>
        <v>#N/A</v>
      </c>
      <c r="N13" s="45" t="e">
        <f t="shared" si="1"/>
        <v>#N/A</v>
      </c>
    </row>
    <row r="14" spans="1:25" x14ac:dyDescent="0.25">
      <c r="A14" s="30">
        <v>12</v>
      </c>
      <c r="B14" s="54" t="s">
        <v>25</v>
      </c>
      <c r="C14" s="55">
        <v>1340.5262775300009</v>
      </c>
      <c r="D14" s="55">
        <v>474.41819017000057</v>
      </c>
      <c r="E14" s="55">
        <f t="shared" si="2"/>
        <v>182.56215830376226</v>
      </c>
      <c r="F14" s="100" t="s">
        <v>169</v>
      </c>
      <c r="K14" s="45" t="e">
        <f>VLOOKUP(B14,'[1]Таблица 1'!$B$4:$D$65,2,FALSE)</f>
        <v>#N/A</v>
      </c>
      <c r="M14" s="46" t="e">
        <f t="shared" si="0"/>
        <v>#N/A</v>
      </c>
      <c r="N14" s="45" t="e">
        <f t="shared" si="1"/>
        <v>#N/A</v>
      </c>
    </row>
    <row r="15" spans="1:25" x14ac:dyDescent="0.25">
      <c r="A15" s="30">
        <v>13</v>
      </c>
      <c r="B15" s="54" t="s">
        <v>228</v>
      </c>
      <c r="C15" s="55">
        <v>1229.9930000000002</v>
      </c>
      <c r="D15" s="55">
        <v>560.03499999999997</v>
      </c>
      <c r="E15" s="55">
        <v>119.62788040033216</v>
      </c>
      <c r="F15" s="100">
        <v>4212034150</v>
      </c>
      <c r="K15" s="45">
        <f>VLOOKUP(B15,'[1]Таблица 1'!$B$4:$D$65,2,FALSE)</f>
        <v>560.02800000000002</v>
      </c>
      <c r="M15" s="46">
        <f t="shared" si="0"/>
        <v>6.9999999999481588E-3</v>
      </c>
      <c r="N15" s="45">
        <f t="shared" si="1"/>
        <v>1.2499375031227444E-3</v>
      </c>
    </row>
    <row r="16" spans="1:25" x14ac:dyDescent="0.25">
      <c r="A16" s="30">
        <v>14</v>
      </c>
      <c r="B16" s="54" t="s">
        <v>170</v>
      </c>
      <c r="C16" s="55">
        <v>1148.7060000000001</v>
      </c>
      <c r="D16" s="55">
        <v>620.84100000000001</v>
      </c>
      <c r="E16" s="55">
        <f t="shared" si="2"/>
        <v>85.024184936239735</v>
      </c>
      <c r="F16" s="100">
        <v>6671118019</v>
      </c>
      <c r="K16" s="45">
        <f>VLOOKUP(B16,'[1]Таблица 1'!$B$4:$D$65,2,FALSE)</f>
        <v>527.1721040000001</v>
      </c>
      <c r="M16" s="46">
        <f t="shared" si="0"/>
        <v>93.668895999999904</v>
      </c>
      <c r="N16" s="33">
        <f t="shared" si="1"/>
        <v>17.768181451422159</v>
      </c>
      <c r="P16" s="45" t="s">
        <v>229</v>
      </c>
      <c r="Q16" s="45" t="s">
        <v>230</v>
      </c>
    </row>
    <row r="17" spans="1:15" x14ac:dyDescent="0.25">
      <c r="A17" s="30">
        <v>15</v>
      </c>
      <c r="B17" s="54" t="s">
        <v>172</v>
      </c>
      <c r="C17" s="55">
        <v>1146.5939999999998</v>
      </c>
      <c r="D17" s="55">
        <v>775.62900000000002</v>
      </c>
      <c r="E17" s="55">
        <f t="shared" si="2"/>
        <v>47.827634087946656</v>
      </c>
      <c r="F17" s="100">
        <v>1831045838</v>
      </c>
      <c r="K17" s="45">
        <f>VLOOKUP(B17,'[1]Таблица 1'!$B$4:$D$65,2,FALSE)</f>
        <v>753.12900000000002</v>
      </c>
      <c r="M17" s="46">
        <f t="shared" si="0"/>
        <v>22.5</v>
      </c>
      <c r="N17" s="45">
        <f t="shared" si="1"/>
        <v>2.987535999808788</v>
      </c>
    </row>
    <row r="18" spans="1:15" x14ac:dyDescent="0.25">
      <c r="A18" s="30">
        <v>16</v>
      </c>
      <c r="B18" s="54" t="s">
        <v>171</v>
      </c>
      <c r="C18" s="55">
        <v>1133.1320000000001</v>
      </c>
      <c r="D18" s="55">
        <v>877.86599999999999</v>
      </c>
      <c r="E18" s="55">
        <f t="shared" si="2"/>
        <v>29.078014184397173</v>
      </c>
      <c r="F18" s="100">
        <v>6164072742</v>
      </c>
      <c r="K18" s="45">
        <f>VLOOKUP(B18,'[1]Таблица 1'!$B$4:$D$65,2,FALSE)</f>
        <v>874.64800000000002</v>
      </c>
      <c r="M18" s="46">
        <f t="shared" si="0"/>
        <v>3.2179999999999609</v>
      </c>
      <c r="N18" s="45">
        <f t="shared" si="1"/>
        <v>0.36791943730505317</v>
      </c>
    </row>
    <row r="19" spans="1:15" x14ac:dyDescent="0.25">
      <c r="A19" s="30">
        <v>17</v>
      </c>
      <c r="B19" s="54" t="s">
        <v>173</v>
      </c>
      <c r="C19" s="55">
        <v>1060.7088999999999</v>
      </c>
      <c r="D19" s="55">
        <v>834.8918000000001</v>
      </c>
      <c r="E19" s="55">
        <f t="shared" si="2"/>
        <v>27.047468905551565</v>
      </c>
      <c r="F19" s="100">
        <v>2310981029</v>
      </c>
      <c r="K19" s="45" t="e">
        <f>VLOOKUP(B19,'[1]Таблица 1'!$B$4:$D$65,2,FALSE)</f>
        <v>#N/A</v>
      </c>
      <c r="M19" s="46" t="e">
        <f t="shared" si="0"/>
        <v>#N/A</v>
      </c>
      <c r="N19" s="45" t="e">
        <f t="shared" si="1"/>
        <v>#N/A</v>
      </c>
    </row>
    <row r="20" spans="1:15" x14ac:dyDescent="0.25">
      <c r="A20" s="30">
        <v>18</v>
      </c>
      <c r="B20" s="54" t="s">
        <v>211</v>
      </c>
      <c r="C20" s="55">
        <v>1029.348</v>
      </c>
      <c r="D20" s="55">
        <v>483.851</v>
      </c>
      <c r="E20" s="55">
        <f t="shared" si="2"/>
        <v>112.74069909951616</v>
      </c>
      <c r="F20" s="100">
        <v>7716748537</v>
      </c>
      <c r="K20" s="45">
        <f>VLOOKUP(B20,'[1]Таблица 1'!$B$4:$D$65,2,FALSE)</f>
        <v>483.851</v>
      </c>
      <c r="M20" s="46">
        <f t="shared" si="0"/>
        <v>0</v>
      </c>
      <c r="N20" s="45">
        <f t="shared" si="1"/>
        <v>0</v>
      </c>
    </row>
    <row r="21" spans="1:15" x14ac:dyDescent="0.25">
      <c r="A21" s="30">
        <v>19</v>
      </c>
      <c r="B21" s="54" t="s">
        <v>212</v>
      </c>
      <c r="C21" s="55">
        <v>981.98699999999997</v>
      </c>
      <c r="D21" s="55">
        <v>362.59399999999999</v>
      </c>
      <c r="E21" s="55">
        <f t="shared" si="2"/>
        <v>170.82273837956504</v>
      </c>
      <c r="F21" s="100">
        <v>7838500558</v>
      </c>
      <c r="K21" s="45" t="e">
        <f>VLOOKUP(B21,'[1]Таблица 1'!$B$4:$D$65,2,FALSE)</f>
        <v>#N/A</v>
      </c>
      <c r="M21" s="46" t="e">
        <f t="shared" si="0"/>
        <v>#N/A</v>
      </c>
      <c r="N21" s="45" t="e">
        <f t="shared" si="1"/>
        <v>#N/A</v>
      </c>
    </row>
    <row r="22" spans="1:15" x14ac:dyDescent="0.25">
      <c r="A22" s="30">
        <v>20</v>
      </c>
      <c r="B22" s="54" t="s">
        <v>10</v>
      </c>
      <c r="C22" s="55">
        <v>870.52099999999996</v>
      </c>
      <c r="D22" s="55">
        <v>744.29699999999991</v>
      </c>
      <c r="E22" s="55">
        <f t="shared" si="2"/>
        <v>16.958821545700186</v>
      </c>
      <c r="F22" s="100">
        <v>5260271530</v>
      </c>
      <c r="K22" s="45">
        <f>VLOOKUP(B22,'[1]Таблица 1'!$B$4:$D$65,2,FALSE)</f>
        <v>797.68700000000001</v>
      </c>
      <c r="M22" s="46">
        <f t="shared" si="0"/>
        <v>-53.3900000000001</v>
      </c>
      <c r="N22" s="45">
        <f t="shared" si="1"/>
        <v>-6.6931014295080749</v>
      </c>
    </row>
    <row r="23" spans="1:15" x14ac:dyDescent="0.25">
      <c r="A23" s="30">
        <v>21</v>
      </c>
      <c r="B23" s="54" t="s">
        <v>174</v>
      </c>
      <c r="C23" s="55">
        <v>788.375</v>
      </c>
      <c r="D23" s="55">
        <v>620.04300000000001</v>
      </c>
      <c r="E23" s="55">
        <f t="shared" si="2"/>
        <v>27.148439704988192</v>
      </c>
      <c r="F23" s="100">
        <v>8601042850</v>
      </c>
      <c r="K23" s="45">
        <f>VLOOKUP(B23,'[1]Таблица 1'!$B$4:$D$65,2,FALSE)</f>
        <v>620.04300000000001</v>
      </c>
      <c r="M23" s="46">
        <f t="shared" si="0"/>
        <v>0</v>
      </c>
      <c r="N23" s="45">
        <f t="shared" si="1"/>
        <v>0</v>
      </c>
    </row>
    <row r="24" spans="1:15" x14ac:dyDescent="0.25">
      <c r="A24" s="30">
        <v>22</v>
      </c>
      <c r="B24" s="54" t="s">
        <v>175</v>
      </c>
      <c r="C24" s="55">
        <v>748.35</v>
      </c>
      <c r="D24" s="55">
        <v>547.36599999999999</v>
      </c>
      <c r="E24" s="55">
        <f t="shared" si="2"/>
        <v>36.71839317750829</v>
      </c>
      <c r="F24" s="100">
        <v>2634091033</v>
      </c>
      <c r="K24" s="45">
        <f>VLOOKUP(B24,'[1]Таблица 1'!$B$4:$D$65,2,FALSE)</f>
        <v>547.36599999999999</v>
      </c>
      <c r="M24" s="46">
        <f t="shared" si="0"/>
        <v>0</v>
      </c>
      <c r="N24" s="45">
        <f t="shared" si="1"/>
        <v>0</v>
      </c>
    </row>
    <row r="25" spans="1:15" x14ac:dyDescent="0.25">
      <c r="A25" s="30">
        <v>23</v>
      </c>
      <c r="B25" s="54" t="s">
        <v>11</v>
      </c>
      <c r="C25" s="55">
        <v>735.51800000000003</v>
      </c>
      <c r="D25" s="55">
        <v>380.83199999999999</v>
      </c>
      <c r="E25" s="55">
        <f t="shared" si="2"/>
        <v>93.134505503739177</v>
      </c>
      <c r="F25" s="100">
        <v>5407264020</v>
      </c>
      <c r="K25" s="45">
        <f>VLOOKUP(B25,'[1]Таблица 1'!$B$4:$D$65,2,FALSE)</f>
        <v>381.15699999999998</v>
      </c>
      <c r="M25" s="46">
        <f t="shared" si="0"/>
        <v>-0.32499999999998863</v>
      </c>
      <c r="N25" s="45">
        <f t="shared" si="1"/>
        <v>-8.5266701123154487E-2</v>
      </c>
    </row>
    <row r="26" spans="1:15" x14ac:dyDescent="0.25">
      <c r="A26" s="30">
        <v>24</v>
      </c>
      <c r="B26" s="54" t="s">
        <v>224</v>
      </c>
      <c r="C26" s="55">
        <v>723.048</v>
      </c>
      <c r="D26" s="55">
        <v>586.11099999999999</v>
      </c>
      <c r="E26" s="55">
        <f t="shared" si="2"/>
        <v>23.363663196902973</v>
      </c>
      <c r="F26" s="100">
        <v>7838492459</v>
      </c>
      <c r="K26" s="45" t="e">
        <f>VLOOKUP(B26,'[1]Таблица 1'!$B$4:$D$65,2,FALSE)</f>
        <v>#N/A</v>
      </c>
      <c r="M26" s="46" t="e">
        <f t="shared" si="0"/>
        <v>#N/A</v>
      </c>
      <c r="N26" s="45" t="e">
        <f t="shared" si="1"/>
        <v>#N/A</v>
      </c>
    </row>
    <row r="27" spans="1:15" x14ac:dyDescent="0.25">
      <c r="A27" s="30">
        <v>25</v>
      </c>
      <c r="B27" s="54" t="s">
        <v>13</v>
      </c>
      <c r="C27" s="55">
        <v>596.18229999999994</v>
      </c>
      <c r="D27" s="55">
        <v>394.16669999999999</v>
      </c>
      <c r="E27" s="55">
        <f t="shared" si="2"/>
        <v>51.251310676421923</v>
      </c>
      <c r="F27" s="100">
        <v>7715450868</v>
      </c>
      <c r="K27" s="45">
        <f>VLOOKUP(B27,'[1]Таблица 1'!$B$4:$D$65,2,FALSE)</f>
        <v>303.02647099999996</v>
      </c>
      <c r="M27" s="46">
        <f t="shared" si="0"/>
        <v>91.140229000000033</v>
      </c>
      <c r="N27" s="4">
        <f t="shared" si="1"/>
        <v>30.076655910367656</v>
      </c>
      <c r="O27" s="45" t="s">
        <v>231</v>
      </c>
    </row>
    <row r="28" spans="1:15" x14ac:dyDescent="0.25">
      <c r="A28" s="30">
        <v>26</v>
      </c>
      <c r="B28" s="54" t="s">
        <v>14</v>
      </c>
      <c r="C28" s="55">
        <v>572.48400000000004</v>
      </c>
      <c r="D28" s="55">
        <v>401.37899999999996</v>
      </c>
      <c r="E28" s="55">
        <f t="shared" si="2"/>
        <v>42.629285538107389</v>
      </c>
      <c r="F28" s="100">
        <v>7727753970</v>
      </c>
      <c r="K28" s="45">
        <f>VLOOKUP(B28,'[1]Таблица 1'!$B$4:$D$65,2,FALSE)</f>
        <v>401.37899999999996</v>
      </c>
      <c r="M28" s="46">
        <f t="shared" si="0"/>
        <v>0</v>
      </c>
      <c r="N28" s="45">
        <f t="shared" si="1"/>
        <v>0</v>
      </c>
    </row>
    <row r="29" spans="1:15" x14ac:dyDescent="0.25">
      <c r="A29" s="30">
        <v>27</v>
      </c>
      <c r="B29" s="54" t="s">
        <v>176</v>
      </c>
      <c r="C29" s="55">
        <v>544.07601999999997</v>
      </c>
      <c r="D29" s="55">
        <v>490.34919999999994</v>
      </c>
      <c r="E29" s="55">
        <v>10.956848711081824</v>
      </c>
      <c r="F29" s="100">
        <v>4824047100</v>
      </c>
      <c r="K29" s="45" t="e">
        <f>VLOOKUP(B29,'[1]Таблица 1'!$B$4:$D$65,2,FALSE)</f>
        <v>#N/A</v>
      </c>
      <c r="M29" s="46" t="e">
        <f t="shared" si="0"/>
        <v>#N/A</v>
      </c>
      <c r="N29" s="45" t="e">
        <f t="shared" si="1"/>
        <v>#N/A</v>
      </c>
    </row>
    <row r="30" spans="1:15" x14ac:dyDescent="0.25">
      <c r="A30" s="30">
        <v>28</v>
      </c>
      <c r="B30" s="54" t="s">
        <v>24</v>
      </c>
      <c r="C30" s="55">
        <v>538.86500000000001</v>
      </c>
      <c r="D30" s="55">
        <v>216.185</v>
      </c>
      <c r="E30" s="55">
        <f t="shared" ref="E30:E73" si="3">100*(C30/D30-1)</f>
        <v>149.2610495640308</v>
      </c>
      <c r="F30" s="100">
        <v>5407487242</v>
      </c>
      <c r="K30" s="45" t="e">
        <f>VLOOKUP(B30,'[1]Таблица 1'!$B$4:$D$65,2,FALSE)</f>
        <v>#N/A</v>
      </c>
      <c r="M30" s="46" t="e">
        <f t="shared" si="0"/>
        <v>#N/A</v>
      </c>
      <c r="N30" s="45" t="e">
        <f t="shared" si="1"/>
        <v>#N/A</v>
      </c>
    </row>
    <row r="31" spans="1:15" x14ac:dyDescent="0.25">
      <c r="A31" s="30">
        <v>29</v>
      </c>
      <c r="B31" s="54" t="s">
        <v>177</v>
      </c>
      <c r="C31" s="55">
        <v>523.14700000000005</v>
      </c>
      <c r="D31" s="55">
        <v>435.89100000000002</v>
      </c>
      <c r="E31" s="55">
        <f t="shared" si="3"/>
        <v>20.017848498821955</v>
      </c>
      <c r="F31" s="100">
        <v>2130058291</v>
      </c>
      <c r="K31" s="45">
        <f>VLOOKUP(B31,'[1]Таблица 1'!$B$4:$D$65,2,FALSE)</f>
        <v>419.786</v>
      </c>
      <c r="M31" s="46">
        <f t="shared" si="0"/>
        <v>16.105000000000018</v>
      </c>
      <c r="N31" s="45">
        <f t="shared" si="1"/>
        <v>3.8364785867084805</v>
      </c>
    </row>
    <row r="32" spans="1:15" x14ac:dyDescent="0.25">
      <c r="A32" s="30">
        <v>30</v>
      </c>
      <c r="B32" s="54" t="s">
        <v>178</v>
      </c>
      <c r="C32" s="55">
        <v>501.41199999999998</v>
      </c>
      <c r="D32" s="55">
        <v>418.56900000000002</v>
      </c>
      <c r="E32" s="55">
        <f t="shared" si="3"/>
        <v>19.791957837298014</v>
      </c>
      <c r="F32" s="100">
        <v>5406570716</v>
      </c>
      <c r="K32" s="45">
        <f>VLOOKUP(B32,'[1]Таблица 1'!$B$4:$D$65,2,FALSE)</f>
        <v>418.56900000000002</v>
      </c>
      <c r="M32" s="46">
        <f t="shared" si="0"/>
        <v>0</v>
      </c>
      <c r="N32" s="45">
        <f t="shared" si="1"/>
        <v>0</v>
      </c>
    </row>
    <row r="33" spans="1:15" x14ac:dyDescent="0.25">
      <c r="A33" s="30">
        <v>31</v>
      </c>
      <c r="B33" s="54" t="s">
        <v>179</v>
      </c>
      <c r="C33" s="55">
        <v>500.72499999999997</v>
      </c>
      <c r="D33" s="55">
        <v>454.35199999999998</v>
      </c>
      <c r="E33" s="55">
        <f t="shared" si="3"/>
        <v>10.206403845476641</v>
      </c>
      <c r="F33" s="100">
        <v>3525251257</v>
      </c>
      <c r="K33" s="45" t="e">
        <f>VLOOKUP(B33,'[1]Таблица 1'!$B$4:$D$65,2,FALSE)</f>
        <v>#N/A</v>
      </c>
      <c r="M33" s="46" t="e">
        <f t="shared" si="0"/>
        <v>#N/A</v>
      </c>
      <c r="N33" s="45" t="e">
        <f t="shared" si="1"/>
        <v>#N/A</v>
      </c>
    </row>
    <row r="34" spans="1:15" x14ac:dyDescent="0.25">
      <c r="A34" s="30">
        <v>32</v>
      </c>
      <c r="B34" s="54" t="s">
        <v>180</v>
      </c>
      <c r="C34" s="55">
        <v>479.80900000000003</v>
      </c>
      <c r="D34" s="55">
        <v>314.34300000000002</v>
      </c>
      <c r="E34" s="55">
        <f t="shared" si="3"/>
        <v>52.638678131849616</v>
      </c>
      <c r="F34" s="100">
        <v>275066729</v>
      </c>
      <c r="K34" s="45">
        <f>VLOOKUP(B34,'[1]Таблица 1'!$B$4:$D$65,2,FALSE)</f>
        <v>314.34300000000002</v>
      </c>
      <c r="M34" s="46">
        <f t="shared" si="0"/>
        <v>0</v>
      </c>
      <c r="N34" s="45">
        <f t="shared" si="1"/>
        <v>0</v>
      </c>
    </row>
    <row r="35" spans="1:15" x14ac:dyDescent="0.25">
      <c r="A35" s="30">
        <v>33</v>
      </c>
      <c r="B35" s="54" t="s">
        <v>181</v>
      </c>
      <c r="C35" s="55">
        <v>478.21699999999998</v>
      </c>
      <c r="D35" s="55">
        <v>429.44799999999998</v>
      </c>
      <c r="E35" s="55">
        <f t="shared" si="3"/>
        <v>11.356206106443612</v>
      </c>
      <c r="F35" s="100">
        <v>5753990187</v>
      </c>
      <c r="K35" s="45">
        <f>VLOOKUP(B35,'[1]Таблица 1'!$B$4:$D$65,2,FALSE)</f>
        <v>429.58699999999999</v>
      </c>
      <c r="M35" s="46">
        <f t="shared" si="0"/>
        <v>-0.13900000000001</v>
      </c>
      <c r="N35" s="45">
        <f t="shared" si="1"/>
        <v>-3.2356658837440211E-2</v>
      </c>
    </row>
    <row r="36" spans="1:15" x14ac:dyDescent="0.25">
      <c r="A36" s="30">
        <v>34</v>
      </c>
      <c r="B36" s="54" t="s">
        <v>182</v>
      </c>
      <c r="C36" s="55">
        <v>459.45100000000002</v>
      </c>
      <c r="D36" s="55">
        <v>442.43299999999999</v>
      </c>
      <c r="E36" s="55">
        <f t="shared" si="3"/>
        <v>3.8464581077813031</v>
      </c>
      <c r="F36" s="100">
        <v>2721052016</v>
      </c>
      <c r="K36" s="45">
        <f>VLOOKUP(B36,'[1]Таблица 1'!$B$4:$D$65,2,FALSE)</f>
        <v>423.93799999999999</v>
      </c>
      <c r="M36" s="46">
        <f t="shared" si="0"/>
        <v>18.495000000000005</v>
      </c>
      <c r="N36" s="45">
        <f t="shared" si="1"/>
        <v>4.3626662389311566</v>
      </c>
    </row>
    <row r="37" spans="1:15" x14ac:dyDescent="0.25">
      <c r="A37" s="30">
        <v>35</v>
      </c>
      <c r="B37" s="54" t="s">
        <v>183</v>
      </c>
      <c r="C37" s="55">
        <v>445.375</v>
      </c>
      <c r="D37" s="55">
        <v>426.5</v>
      </c>
      <c r="E37" s="55">
        <f t="shared" si="3"/>
        <v>4.4255568581477167</v>
      </c>
      <c r="F37" s="100">
        <v>2221171632</v>
      </c>
      <c r="K37" s="45">
        <f>VLOOKUP(B37,'[1]Таблица 1'!$B$4:$D$65,2,FALSE)</f>
        <v>426.483</v>
      </c>
      <c r="M37" s="46">
        <f t="shared" si="0"/>
        <v>1.6999999999995907E-2</v>
      </c>
      <c r="N37" s="4">
        <f t="shared" si="1"/>
        <v>3.9860908875644085E-3</v>
      </c>
      <c r="O37" s="45" t="s">
        <v>232</v>
      </c>
    </row>
    <row r="38" spans="1:15" x14ac:dyDescent="0.25">
      <c r="A38" s="30">
        <v>36</v>
      </c>
      <c r="B38" s="54" t="s">
        <v>22</v>
      </c>
      <c r="C38" s="55">
        <v>441.62</v>
      </c>
      <c r="D38" s="55">
        <v>624.12099999999998</v>
      </c>
      <c r="E38" s="55">
        <f t="shared" si="3"/>
        <v>-29.241284943144031</v>
      </c>
      <c r="F38" s="100">
        <v>1831178411</v>
      </c>
      <c r="K38" s="45">
        <f>VLOOKUP(B38,'[1]Таблица 1'!$B$4:$D$65,2,FALSE)</f>
        <v>624.12099999999998</v>
      </c>
      <c r="M38" s="46">
        <f t="shared" si="0"/>
        <v>0</v>
      </c>
      <c r="N38" s="45">
        <f t="shared" si="1"/>
        <v>0</v>
      </c>
    </row>
    <row r="39" spans="1:15" x14ac:dyDescent="0.25">
      <c r="A39" s="30">
        <v>37</v>
      </c>
      <c r="B39" s="54" t="s">
        <v>9</v>
      </c>
      <c r="C39" s="55">
        <v>427.62599999999998</v>
      </c>
      <c r="D39" s="55">
        <v>1376.0640000000001</v>
      </c>
      <c r="E39" s="55">
        <f t="shared" si="3"/>
        <v>-68.923974466303889</v>
      </c>
      <c r="F39" s="100">
        <v>5501246928</v>
      </c>
      <c r="K39" s="45">
        <f>VLOOKUP(B39,'[1]Таблица 1'!$B$4:$D$65,2,FALSE)</f>
        <v>777.93200000000002</v>
      </c>
      <c r="M39" s="46">
        <f t="shared" si="0"/>
        <v>598.13200000000006</v>
      </c>
      <c r="N39" s="4">
        <f t="shared" si="1"/>
        <v>76.887440033319109</v>
      </c>
      <c r="O39" s="45" t="s">
        <v>231</v>
      </c>
    </row>
    <row r="40" spans="1:15" x14ac:dyDescent="0.25">
      <c r="A40" s="30">
        <v>38</v>
      </c>
      <c r="B40" s="54" t="s">
        <v>222</v>
      </c>
      <c r="C40" s="55">
        <v>410.84900000000005</v>
      </c>
      <c r="D40" s="55">
        <v>261.20299999999997</v>
      </c>
      <c r="E40" s="55">
        <f t="shared" si="3"/>
        <v>57.291072460882944</v>
      </c>
      <c r="F40" s="100" t="s">
        <v>219</v>
      </c>
      <c r="K40" s="45" t="e">
        <f>VLOOKUP(B40,'[1]Таблица 1'!$B$4:$D$65,2,FALSE)</f>
        <v>#N/A</v>
      </c>
      <c r="L40" s="4"/>
      <c r="M40" s="46" t="e">
        <f t="shared" si="0"/>
        <v>#N/A</v>
      </c>
      <c r="N40" s="45" t="e">
        <f t="shared" si="1"/>
        <v>#N/A</v>
      </c>
    </row>
    <row r="41" spans="1:15" x14ac:dyDescent="0.25">
      <c r="A41" s="30">
        <v>39</v>
      </c>
      <c r="B41" s="54" t="s">
        <v>184</v>
      </c>
      <c r="C41" s="55">
        <v>410.16700000000003</v>
      </c>
      <c r="D41" s="55">
        <v>460.89499999999998</v>
      </c>
      <c r="E41" s="55">
        <f t="shared" si="3"/>
        <v>-11.006411438613995</v>
      </c>
      <c r="F41" s="100">
        <v>8901023569</v>
      </c>
      <c r="K41" s="45" t="e">
        <f>VLOOKUP(B41,'[1]Таблица 1'!$B$4:$D$65,2,FALSE)</f>
        <v>#N/A</v>
      </c>
      <c r="M41" s="46" t="e">
        <f t="shared" si="0"/>
        <v>#N/A</v>
      </c>
      <c r="N41" s="45" t="e">
        <f t="shared" si="1"/>
        <v>#N/A</v>
      </c>
    </row>
    <row r="42" spans="1:15" x14ac:dyDescent="0.25">
      <c r="A42" s="30">
        <v>40</v>
      </c>
      <c r="B42" s="54" t="s">
        <v>186</v>
      </c>
      <c r="C42" s="55">
        <v>408.452</v>
      </c>
      <c r="D42" s="55">
        <v>463.65899999999999</v>
      </c>
      <c r="E42" s="55">
        <f t="shared" si="3"/>
        <v>-11.906810824334258</v>
      </c>
      <c r="F42" s="100">
        <v>1326960625</v>
      </c>
      <c r="K42" s="45" t="e">
        <f>VLOOKUP(B42,'[1]Таблица 1'!$B$4:$D$65,2,FALSE)</f>
        <v>#N/A</v>
      </c>
      <c r="M42" s="46" t="e">
        <f t="shared" si="0"/>
        <v>#N/A</v>
      </c>
      <c r="N42" s="45" t="e">
        <f t="shared" si="1"/>
        <v>#N/A</v>
      </c>
    </row>
    <row r="43" spans="1:15" x14ac:dyDescent="0.25">
      <c r="A43" s="30">
        <v>41</v>
      </c>
      <c r="B43" s="54" t="s">
        <v>187</v>
      </c>
      <c r="C43" s="55">
        <v>395.45299999999997</v>
      </c>
      <c r="D43" s="55">
        <v>320.69299999999998</v>
      </c>
      <c r="E43" s="55">
        <f t="shared" si="3"/>
        <v>23.312014917693858</v>
      </c>
      <c r="F43" s="100">
        <v>3666144160</v>
      </c>
      <c r="K43" s="45">
        <f>VLOOKUP(B43,'[1]Таблица 1'!$B$4:$D$65,2,FALSE)</f>
        <v>305.50596000000002</v>
      </c>
      <c r="M43" s="46">
        <f t="shared" si="0"/>
        <v>15.187039999999968</v>
      </c>
      <c r="N43" s="45">
        <f t="shared" si="1"/>
        <v>4.9711108745636112</v>
      </c>
    </row>
    <row r="44" spans="1:15" x14ac:dyDescent="0.25">
      <c r="A44" s="30">
        <v>42</v>
      </c>
      <c r="B44" s="54" t="s">
        <v>188</v>
      </c>
      <c r="C44" s="55">
        <v>395.10199999999998</v>
      </c>
      <c r="D44" s="55">
        <v>357.28100000000001</v>
      </c>
      <c r="E44" s="55">
        <f t="shared" si="3"/>
        <v>10.585785418200233</v>
      </c>
      <c r="F44" s="100">
        <v>5321059541</v>
      </c>
      <c r="K44" s="45">
        <f>VLOOKUP(B44,'[1]Таблица 1'!$B$4:$D$65,2,FALSE)</f>
        <v>356.20699999999999</v>
      </c>
      <c r="M44" s="46">
        <f t="shared" si="0"/>
        <v>1.0740000000000123</v>
      </c>
      <c r="N44" s="45">
        <f t="shared" si="1"/>
        <v>0.30151007700578436</v>
      </c>
    </row>
    <row r="45" spans="1:15" x14ac:dyDescent="0.25">
      <c r="A45" s="30">
        <v>43</v>
      </c>
      <c r="B45" s="54" t="s">
        <v>227</v>
      </c>
      <c r="C45" s="55">
        <v>373.834</v>
      </c>
      <c r="D45" s="55">
        <v>352.51400000000001</v>
      </c>
      <c r="E45" s="55">
        <v>355.89</v>
      </c>
      <c r="F45" s="100">
        <v>4101091354</v>
      </c>
      <c r="K45" s="45">
        <f>VLOOKUP(B45,'[1]Таблица 1'!$B$4:$D$65,2,FALSE)</f>
        <v>329.56568099999998</v>
      </c>
      <c r="M45" s="46">
        <f t="shared" si="0"/>
        <v>22.948319000000026</v>
      </c>
      <c r="N45" s="45">
        <f t="shared" si="1"/>
        <v>6.9632004553289661</v>
      </c>
    </row>
    <row r="46" spans="1:15" x14ac:dyDescent="0.25">
      <c r="A46" s="30">
        <v>44</v>
      </c>
      <c r="B46" s="54" t="s">
        <v>189</v>
      </c>
      <c r="C46" s="55">
        <v>365.6</v>
      </c>
      <c r="D46" s="55">
        <v>461.5</v>
      </c>
      <c r="E46" s="55">
        <f t="shared" si="3"/>
        <v>-20.780065005417114</v>
      </c>
      <c r="F46" s="100">
        <v>5902198365</v>
      </c>
      <c r="K46" s="45" t="e">
        <f>VLOOKUP(B46,'[1]Таблица 1'!$B$4:$D$65,2,FALSE)</f>
        <v>#N/A</v>
      </c>
      <c r="M46" s="46" t="e">
        <f t="shared" si="0"/>
        <v>#N/A</v>
      </c>
      <c r="N46" s="45" t="e">
        <f t="shared" si="1"/>
        <v>#N/A</v>
      </c>
    </row>
    <row r="47" spans="1:15" x14ac:dyDescent="0.25">
      <c r="A47" s="30">
        <v>45</v>
      </c>
      <c r="B47" s="54" t="s">
        <v>225</v>
      </c>
      <c r="C47" s="55">
        <v>345.39800000000002</v>
      </c>
      <c r="D47" s="55">
        <v>56.539000000000001</v>
      </c>
      <c r="E47" s="55">
        <f t="shared" si="3"/>
        <v>510.90220909460731</v>
      </c>
      <c r="F47" s="100">
        <v>2722103753</v>
      </c>
      <c r="K47" s="45">
        <f>VLOOKUP(B47,'[1]Таблица 1'!$B$4:$D$65,2,FALSE)</f>
        <v>55.246457999999997</v>
      </c>
      <c r="M47" s="46">
        <f t="shared" si="0"/>
        <v>1.2925420000000045</v>
      </c>
      <c r="N47" s="45">
        <f t="shared" si="1"/>
        <v>2.3395925219314551</v>
      </c>
    </row>
    <row r="48" spans="1:15" x14ac:dyDescent="0.25">
      <c r="A48" s="30">
        <v>46</v>
      </c>
      <c r="B48" s="54" t="s">
        <v>190</v>
      </c>
      <c r="C48" s="55">
        <v>334.36415</v>
      </c>
      <c r="D48" s="55">
        <v>344.28689000000003</v>
      </c>
      <c r="E48" s="55">
        <f t="shared" si="3"/>
        <v>-2.8821138092130161</v>
      </c>
      <c r="F48" s="100">
        <v>2460030985</v>
      </c>
      <c r="K48" s="45">
        <f>VLOOKUP(B48,'[1]Таблица 1'!$B$4:$D$65,2,FALSE)</f>
        <v>317.144701</v>
      </c>
      <c r="M48" s="46">
        <f t="shared" si="0"/>
        <v>27.14218900000003</v>
      </c>
      <c r="N48" s="45">
        <f t="shared" si="1"/>
        <v>8.5582981252460009</v>
      </c>
    </row>
    <row r="49" spans="1:14" x14ac:dyDescent="0.25">
      <c r="A49" s="30">
        <v>47</v>
      </c>
      <c r="B49" s="54" t="s">
        <v>220</v>
      </c>
      <c r="C49" s="55">
        <v>316.74200000000002</v>
      </c>
      <c r="D49" s="55">
        <v>317.37200000000001</v>
      </c>
      <c r="E49" s="55">
        <f t="shared" si="3"/>
        <v>-0.19850522415335581</v>
      </c>
      <c r="F49" s="100">
        <v>7705974076</v>
      </c>
      <c r="K49" s="45" t="e">
        <f>VLOOKUP(B49,'[1]Таблица 1'!$B$4:$D$65,2,FALSE)</f>
        <v>#N/A</v>
      </c>
      <c r="M49" s="46" t="e">
        <f t="shared" si="0"/>
        <v>#N/A</v>
      </c>
      <c r="N49" s="45" t="e">
        <f t="shared" si="1"/>
        <v>#N/A</v>
      </c>
    </row>
    <row r="50" spans="1:14" x14ac:dyDescent="0.25">
      <c r="A50" s="30">
        <v>48</v>
      </c>
      <c r="B50" s="54" t="s">
        <v>191</v>
      </c>
      <c r="C50" s="55">
        <v>305.58300000000003</v>
      </c>
      <c r="D50" s="55">
        <v>248.898</v>
      </c>
      <c r="E50" s="55">
        <f t="shared" si="3"/>
        <v>22.774389508955494</v>
      </c>
      <c r="F50" s="100">
        <v>2901204067</v>
      </c>
      <c r="K50" s="45">
        <f>VLOOKUP(B50,'[1]Таблица 1'!$B$4:$D$65,2,FALSE)</f>
        <v>248.898</v>
      </c>
      <c r="M50" s="46">
        <f t="shared" si="0"/>
        <v>0</v>
      </c>
      <c r="N50" s="45">
        <f t="shared" si="1"/>
        <v>0</v>
      </c>
    </row>
    <row r="51" spans="1:14" x14ac:dyDescent="0.25">
      <c r="A51" s="30">
        <v>49</v>
      </c>
      <c r="B51" s="54" t="s">
        <v>221</v>
      </c>
      <c r="C51" s="55">
        <v>301.12200000000001</v>
      </c>
      <c r="D51" s="55">
        <v>103.974</v>
      </c>
      <c r="E51" s="55">
        <f t="shared" si="3"/>
        <v>189.6127878123377</v>
      </c>
      <c r="F51" s="100">
        <v>5260355389</v>
      </c>
      <c r="K51" s="45" t="e">
        <f>VLOOKUP(B51,'[1]Таблица 1'!$B$4:$D$65,2,FALSE)</f>
        <v>#N/A</v>
      </c>
      <c r="M51" s="46" t="e">
        <f t="shared" si="0"/>
        <v>#N/A</v>
      </c>
      <c r="N51" s="45" t="e">
        <f t="shared" si="1"/>
        <v>#N/A</v>
      </c>
    </row>
    <row r="52" spans="1:14" x14ac:dyDescent="0.25">
      <c r="A52" s="30">
        <v>50</v>
      </c>
      <c r="B52" s="54" t="s">
        <v>192</v>
      </c>
      <c r="C52" s="55">
        <v>282.54899999999998</v>
      </c>
      <c r="D52" s="55">
        <v>161.25900000000001</v>
      </c>
      <c r="E52" s="55">
        <f t="shared" si="3"/>
        <v>75.214406637769017</v>
      </c>
      <c r="F52" s="100">
        <v>3328999318</v>
      </c>
      <c r="K52" s="45">
        <f>VLOOKUP(B52,'[1]Таблица 1'!$B$4:$D$65,2,FALSE)</f>
        <v>157.65600000000001</v>
      </c>
      <c r="M52" s="46">
        <f t="shared" si="0"/>
        <v>3.6030000000000086</v>
      </c>
      <c r="N52" s="45">
        <f t="shared" si="1"/>
        <v>2.2853554574516766</v>
      </c>
    </row>
    <row r="53" spans="1:14" x14ac:dyDescent="0.25">
      <c r="A53" s="30">
        <v>51</v>
      </c>
      <c r="B53" s="54" t="s">
        <v>193</v>
      </c>
      <c r="C53" s="55">
        <v>279.86700000000002</v>
      </c>
      <c r="D53" s="55">
        <v>180.73699999999999</v>
      </c>
      <c r="E53" s="55">
        <f t="shared" si="3"/>
        <v>54.847651560001552</v>
      </c>
      <c r="F53" s="100">
        <v>7106015641</v>
      </c>
      <c r="K53" s="45">
        <f>VLOOKUP(B53,'[1]Таблица 1'!$B$4:$D$65,2,FALSE)</f>
        <v>180.73671999999999</v>
      </c>
      <c r="M53" s="46">
        <f t="shared" si="0"/>
        <v>2.8000000000361069E-4</v>
      </c>
      <c r="N53" s="45">
        <f t="shared" si="1"/>
        <v>1.5492147915630028E-4</v>
      </c>
    </row>
    <row r="54" spans="1:14" x14ac:dyDescent="0.25">
      <c r="A54" s="30">
        <v>52</v>
      </c>
      <c r="B54" s="54" t="s">
        <v>195</v>
      </c>
      <c r="C54" s="55">
        <v>279.50099999999998</v>
      </c>
      <c r="D54" s="55">
        <v>260.44600000000003</v>
      </c>
      <c r="E54" s="55">
        <f t="shared" si="3"/>
        <v>7.3162958924306576</v>
      </c>
      <c r="F54" s="100">
        <v>3801990027</v>
      </c>
      <c r="K54" s="45" t="e">
        <f>VLOOKUP(B54,'[1]Таблица 1'!$B$4:$D$65,2,FALSE)</f>
        <v>#N/A</v>
      </c>
      <c r="M54" s="46" t="e">
        <f t="shared" si="0"/>
        <v>#N/A</v>
      </c>
      <c r="N54" s="45" t="e">
        <f t="shared" si="1"/>
        <v>#N/A</v>
      </c>
    </row>
    <row r="55" spans="1:14" x14ac:dyDescent="0.25">
      <c r="A55" s="30">
        <v>53</v>
      </c>
      <c r="B55" s="54" t="s">
        <v>194</v>
      </c>
      <c r="C55" s="55">
        <v>269.75200000000001</v>
      </c>
      <c r="D55" s="55">
        <v>206.14500000000001</v>
      </c>
      <c r="E55" s="55">
        <f t="shared" si="3"/>
        <v>30.855465812898686</v>
      </c>
      <c r="F55" s="100">
        <v>6450939546</v>
      </c>
      <c r="K55" s="45">
        <f>VLOOKUP(B55,'[1]Таблица 1'!$B$4:$D$65,2,FALSE)</f>
        <v>206.14500000000001</v>
      </c>
      <c r="M55" s="46">
        <f t="shared" si="0"/>
        <v>0</v>
      </c>
      <c r="N55" s="45">
        <f t="shared" si="1"/>
        <v>0</v>
      </c>
    </row>
    <row r="56" spans="1:14" x14ac:dyDescent="0.25">
      <c r="A56" s="30">
        <v>54</v>
      </c>
      <c r="B56" s="54" t="s">
        <v>197</v>
      </c>
      <c r="C56" s="55">
        <v>262.57299999999998</v>
      </c>
      <c r="D56" s="55">
        <v>245.78</v>
      </c>
      <c r="E56" s="55">
        <f t="shared" si="3"/>
        <v>6.8325331597363315</v>
      </c>
      <c r="F56" s="100">
        <v>6731027048</v>
      </c>
      <c r="K56" s="45" t="e">
        <f>VLOOKUP(B56,'[1]Таблица 1'!$B$4:$D$65,2,FALSE)</f>
        <v>#N/A</v>
      </c>
      <c r="M56" s="46" t="e">
        <f t="shared" si="0"/>
        <v>#N/A</v>
      </c>
      <c r="N56" s="45" t="e">
        <f t="shared" si="1"/>
        <v>#N/A</v>
      </c>
    </row>
    <row r="57" spans="1:14" x14ac:dyDescent="0.25">
      <c r="A57" s="30">
        <v>55</v>
      </c>
      <c r="B57" s="54" t="s">
        <v>196</v>
      </c>
      <c r="C57" s="55">
        <v>221.54</v>
      </c>
      <c r="D57" s="55">
        <v>167.39600000000002</v>
      </c>
      <c r="E57" s="55">
        <f t="shared" si="3"/>
        <v>32.344858897464675</v>
      </c>
      <c r="F57" s="100">
        <v>6952000911</v>
      </c>
      <c r="K57" s="45" t="e">
        <f>VLOOKUP(B57,'[1]Таблица 1'!$B$4:$D$65,2,FALSE)</f>
        <v>#N/A</v>
      </c>
      <c r="M57" s="46" t="e">
        <f t="shared" si="0"/>
        <v>#N/A</v>
      </c>
      <c r="N57" s="45" t="e">
        <f t="shared" si="1"/>
        <v>#N/A</v>
      </c>
    </row>
    <row r="58" spans="1:14" x14ac:dyDescent="0.25">
      <c r="A58" s="30">
        <v>56</v>
      </c>
      <c r="B58" s="54" t="s">
        <v>198</v>
      </c>
      <c r="C58" s="55">
        <v>206.2415</v>
      </c>
      <c r="D58" s="55">
        <v>215.11810999999997</v>
      </c>
      <c r="E58" s="55">
        <f t="shared" si="3"/>
        <v>-4.126388986961615</v>
      </c>
      <c r="F58" s="100">
        <v>3015028318</v>
      </c>
      <c r="K58" s="45">
        <f>VLOOKUP(B58,'[1]Таблица 1'!$B$4:$D$65,2,FALSE)</f>
        <v>215.11810999999997</v>
      </c>
      <c r="M58" s="46">
        <f t="shared" si="0"/>
        <v>0</v>
      </c>
      <c r="N58" s="45">
        <f t="shared" si="1"/>
        <v>0</v>
      </c>
    </row>
    <row r="59" spans="1:14" x14ac:dyDescent="0.25">
      <c r="A59" s="30">
        <v>57</v>
      </c>
      <c r="B59" s="54" t="s">
        <v>199</v>
      </c>
      <c r="C59" s="55">
        <v>201.07705000000001</v>
      </c>
      <c r="D59" s="55">
        <v>163.00964000000002</v>
      </c>
      <c r="E59" s="55">
        <f t="shared" si="3"/>
        <v>23.352858149984247</v>
      </c>
      <c r="F59" s="100">
        <v>4632066518</v>
      </c>
      <c r="K59" s="45" t="e">
        <f>VLOOKUP(B59,'[1]Таблица 1'!$B$4:$D$65,2,FALSE)</f>
        <v>#N/A</v>
      </c>
      <c r="M59" s="46" t="e">
        <f t="shared" si="0"/>
        <v>#N/A</v>
      </c>
      <c r="N59" s="45" t="e">
        <f t="shared" si="1"/>
        <v>#N/A</v>
      </c>
    </row>
    <row r="60" spans="1:14" x14ac:dyDescent="0.25">
      <c r="A60" s="30">
        <v>58</v>
      </c>
      <c r="B60" s="54" t="s">
        <v>200</v>
      </c>
      <c r="C60" s="55">
        <v>200.5436</v>
      </c>
      <c r="D60" s="55">
        <v>177.52089999999998</v>
      </c>
      <c r="E60" s="55">
        <f t="shared" si="3"/>
        <v>12.969008156222749</v>
      </c>
      <c r="F60" s="100">
        <v>4207043015</v>
      </c>
      <c r="K60" s="45" t="e">
        <f>VLOOKUP(B60,'[1]Таблица 1'!$B$4:$D$65,2,FALSE)</f>
        <v>#N/A</v>
      </c>
      <c r="M60" s="46" t="e">
        <f t="shared" si="0"/>
        <v>#N/A</v>
      </c>
      <c r="N60" s="45" t="e">
        <f t="shared" si="1"/>
        <v>#N/A</v>
      </c>
    </row>
    <row r="61" spans="1:14" x14ac:dyDescent="0.25">
      <c r="A61" s="30">
        <v>59</v>
      </c>
      <c r="B61" s="54" t="s">
        <v>201</v>
      </c>
      <c r="C61" s="55">
        <v>199.97499999999999</v>
      </c>
      <c r="D61" s="55">
        <v>138.28100000000001</v>
      </c>
      <c r="E61" s="55">
        <f t="shared" si="3"/>
        <v>44.614950716295063</v>
      </c>
      <c r="F61" s="100">
        <v>5835073174</v>
      </c>
      <c r="K61" s="45" t="e">
        <f>VLOOKUP(B61,'[1]Таблица 1'!$B$4:$D$65,2,FALSE)</f>
        <v>#N/A</v>
      </c>
      <c r="M61" s="46" t="e">
        <f t="shared" si="0"/>
        <v>#N/A</v>
      </c>
      <c r="N61" s="45" t="e">
        <f t="shared" si="1"/>
        <v>#N/A</v>
      </c>
    </row>
    <row r="62" spans="1:14" x14ac:dyDescent="0.25">
      <c r="A62" s="30">
        <v>60</v>
      </c>
      <c r="B62" s="54" t="s">
        <v>202</v>
      </c>
      <c r="C62" s="55">
        <v>189.07205999999999</v>
      </c>
      <c r="D62" s="55">
        <v>135.97773000000001</v>
      </c>
      <c r="E62" s="55">
        <f t="shared" si="3"/>
        <v>39.046342367974503</v>
      </c>
      <c r="F62" s="100">
        <v>3906905075</v>
      </c>
      <c r="K62" s="45" t="e">
        <f>VLOOKUP(B62,'[1]Таблица 1'!$B$4:$D$65,2,FALSE)</f>
        <v>#N/A</v>
      </c>
      <c r="M62" s="46" t="e">
        <f t="shared" si="0"/>
        <v>#N/A</v>
      </c>
      <c r="N62" s="45" t="e">
        <f t="shared" si="1"/>
        <v>#N/A</v>
      </c>
    </row>
    <row r="63" spans="1:14" x14ac:dyDescent="0.25">
      <c r="A63" s="30">
        <v>61</v>
      </c>
      <c r="B63" s="54" t="s">
        <v>203</v>
      </c>
      <c r="C63" s="55">
        <v>172.869</v>
      </c>
      <c r="D63" s="55">
        <v>88.415000000000006</v>
      </c>
      <c r="E63" s="55">
        <f t="shared" si="3"/>
        <v>95.519990951761557</v>
      </c>
      <c r="F63" s="100">
        <v>5260248556</v>
      </c>
      <c r="K63" s="45" t="e">
        <f>VLOOKUP(B63,'[1]Таблица 1'!$B$4:$D$65,2,FALSE)</f>
        <v>#N/A</v>
      </c>
      <c r="M63" s="46" t="e">
        <f t="shared" si="0"/>
        <v>#N/A</v>
      </c>
      <c r="N63" s="45" t="e">
        <f t="shared" si="1"/>
        <v>#N/A</v>
      </c>
    </row>
    <row r="64" spans="1:14" x14ac:dyDescent="0.25">
      <c r="A64" s="30">
        <v>62</v>
      </c>
      <c r="B64" s="54" t="s">
        <v>204</v>
      </c>
      <c r="C64" s="55">
        <v>127.58982</v>
      </c>
      <c r="D64" s="55">
        <v>115.113</v>
      </c>
      <c r="E64" s="55">
        <f t="shared" si="3"/>
        <v>10.838758437361552</v>
      </c>
      <c r="F64" s="100">
        <v>4501153372</v>
      </c>
      <c r="K64" s="45" t="e">
        <f>VLOOKUP(B64,'[1]Таблица 1'!$B$4:$D$65,2,FALSE)</f>
        <v>#N/A</v>
      </c>
      <c r="M64" s="46" t="e">
        <f t="shared" si="0"/>
        <v>#N/A</v>
      </c>
      <c r="N64" s="45" t="e">
        <f t="shared" si="1"/>
        <v>#N/A</v>
      </c>
    </row>
    <row r="65" spans="1:14" x14ac:dyDescent="0.25">
      <c r="A65" s="30">
        <v>63</v>
      </c>
      <c r="B65" s="54" t="s">
        <v>205</v>
      </c>
      <c r="C65" s="55">
        <v>110.71528000000001</v>
      </c>
      <c r="D65" s="55">
        <v>95.457740000000001</v>
      </c>
      <c r="E65" s="55">
        <f t="shared" si="3"/>
        <v>15.983554607515327</v>
      </c>
      <c r="F65" s="100">
        <v>1435175512</v>
      </c>
      <c r="K65" s="45" t="e">
        <f>VLOOKUP(B65,'[1]Таблица 1'!$B$4:$D$65,2,FALSE)</f>
        <v>#N/A</v>
      </c>
      <c r="M65" s="46" t="e">
        <f t="shared" si="0"/>
        <v>#N/A</v>
      </c>
      <c r="N65" s="45" t="e">
        <f t="shared" si="1"/>
        <v>#N/A</v>
      </c>
    </row>
    <row r="66" spans="1:14" x14ac:dyDescent="0.25">
      <c r="A66" s="30">
        <v>64</v>
      </c>
      <c r="B66" s="54" t="s">
        <v>206</v>
      </c>
      <c r="C66" s="55">
        <v>105.87039</v>
      </c>
      <c r="D66" s="55">
        <v>90.075360000000003</v>
      </c>
      <c r="E66" s="55">
        <f t="shared" si="3"/>
        <v>17.535350399931794</v>
      </c>
      <c r="F66" s="100">
        <v>5609050670</v>
      </c>
      <c r="K66" s="45" t="e">
        <f>VLOOKUP(B66,'[1]Таблица 1'!$B$4:$D$65,2,FALSE)</f>
        <v>#N/A</v>
      </c>
      <c r="M66" s="46" t="e">
        <f t="shared" si="0"/>
        <v>#N/A</v>
      </c>
      <c r="N66" s="45" t="e">
        <f t="shared" si="1"/>
        <v>#N/A</v>
      </c>
    </row>
    <row r="67" spans="1:14" x14ac:dyDescent="0.25">
      <c r="A67" s="30">
        <v>65</v>
      </c>
      <c r="B67" s="54" t="s">
        <v>207</v>
      </c>
      <c r="C67" s="55">
        <v>70.476259999999996</v>
      </c>
      <c r="D67" s="55">
        <v>64.868769999999998</v>
      </c>
      <c r="E67" s="55">
        <f t="shared" si="3"/>
        <v>8.6443599901770973</v>
      </c>
      <c r="F67" s="100">
        <v>7536165141</v>
      </c>
      <c r="K67" s="45" t="e">
        <f>VLOOKUP(B67,'[1]Таблица 1'!$B$4:$D$65,2,FALSE)</f>
        <v>#N/A</v>
      </c>
      <c r="M67" s="46" t="e">
        <f t="shared" si="0"/>
        <v>#N/A</v>
      </c>
      <c r="N67" s="45" t="e">
        <f t="shared" si="1"/>
        <v>#N/A</v>
      </c>
    </row>
    <row r="68" spans="1:14" x14ac:dyDescent="0.25">
      <c r="A68" s="30">
        <v>66</v>
      </c>
      <c r="B68" s="54" t="s">
        <v>208</v>
      </c>
      <c r="C68" s="55">
        <v>67.665000000000006</v>
      </c>
      <c r="D68" s="55">
        <v>67.992999999999995</v>
      </c>
      <c r="E68" s="55">
        <f t="shared" si="3"/>
        <v>-0.4824026002676618</v>
      </c>
      <c r="F68" s="100">
        <v>6154035727</v>
      </c>
      <c r="K68" s="45" t="e">
        <f>VLOOKUP(B68,'[1]Таблица 1'!$B$4:$D$65,2,FALSE)</f>
        <v>#N/A</v>
      </c>
      <c r="M68" s="46" t="e">
        <f t="shared" ref="M68:M73" si="4">D68-K68</f>
        <v>#N/A</v>
      </c>
      <c r="N68" s="45" t="e">
        <f t="shared" ref="N68:N73" si="5">100*(D68/K68-1)</f>
        <v>#N/A</v>
      </c>
    </row>
    <row r="69" spans="1:14" x14ac:dyDescent="0.25">
      <c r="A69" s="30">
        <v>67</v>
      </c>
      <c r="B69" s="54" t="s">
        <v>209</v>
      </c>
      <c r="C69" s="55">
        <v>63.335000000000001</v>
      </c>
      <c r="D69" s="55">
        <v>53.201999999999998</v>
      </c>
      <c r="E69" s="55">
        <f t="shared" si="3"/>
        <v>19.04627645577235</v>
      </c>
      <c r="F69" s="100">
        <v>6829127793</v>
      </c>
      <c r="K69" s="45" t="e">
        <f>VLOOKUP(B69,'[1]Таблица 1'!$B$4:$D$65,2,FALSE)</f>
        <v>#N/A</v>
      </c>
      <c r="M69" s="46" t="e">
        <f t="shared" si="4"/>
        <v>#N/A</v>
      </c>
      <c r="N69" s="45" t="e">
        <f t="shared" si="5"/>
        <v>#N/A</v>
      </c>
    </row>
    <row r="70" spans="1:14" x14ac:dyDescent="0.25">
      <c r="A70" s="30">
        <v>68</v>
      </c>
      <c r="B70" s="54" t="s">
        <v>185</v>
      </c>
      <c r="C70" s="55">
        <v>60.374209999999998</v>
      </c>
      <c r="D70" s="55">
        <v>33.173070000000003</v>
      </c>
      <c r="E70" s="55">
        <f t="shared" si="3"/>
        <v>81.997656532844232</v>
      </c>
      <c r="F70" s="100">
        <v>2983010493</v>
      </c>
      <c r="K70" s="45" t="e">
        <f>VLOOKUP(B70,'[1]Таблица 1'!$B$4:$D$65,2,FALSE)</f>
        <v>#N/A</v>
      </c>
      <c r="M70" s="46" t="e">
        <f t="shared" si="4"/>
        <v>#N/A</v>
      </c>
      <c r="N70" s="45" t="e">
        <f t="shared" si="5"/>
        <v>#N/A</v>
      </c>
    </row>
    <row r="71" spans="1:14" x14ac:dyDescent="0.25">
      <c r="A71" s="30">
        <v>69</v>
      </c>
      <c r="B71" s="54" t="s">
        <v>17</v>
      </c>
      <c r="C71" s="55">
        <v>42.268000000000001</v>
      </c>
      <c r="D71" s="55">
        <v>51.552</v>
      </c>
      <c r="E71" s="55">
        <f t="shared" si="3"/>
        <v>-18.009000620732461</v>
      </c>
      <c r="F71" s="100">
        <v>2373004749</v>
      </c>
      <c r="K71" s="45">
        <f>VLOOKUP(B71,'[1]Таблица 1'!$B$4:$D$65,2,FALSE)</f>
        <v>51.552</v>
      </c>
      <c r="M71" s="46">
        <f t="shared" si="4"/>
        <v>0</v>
      </c>
      <c r="N71" s="45">
        <f t="shared" si="5"/>
        <v>0</v>
      </c>
    </row>
    <row r="72" spans="1:14" x14ac:dyDescent="0.25">
      <c r="A72" s="30">
        <v>70</v>
      </c>
      <c r="B72" s="54" t="s">
        <v>210</v>
      </c>
      <c r="C72" s="55">
        <v>28.347999999999999</v>
      </c>
      <c r="D72" s="55">
        <v>32.255000000000003</v>
      </c>
      <c r="E72" s="55">
        <f t="shared" si="3"/>
        <v>-12.112850720818491</v>
      </c>
      <c r="F72" s="100">
        <v>3818029140</v>
      </c>
      <c r="K72" s="45" t="e">
        <f>VLOOKUP(B72,'[1]Таблица 1'!$B$4:$D$65,2,FALSE)</f>
        <v>#N/A</v>
      </c>
      <c r="M72" s="46" t="e">
        <f t="shared" si="4"/>
        <v>#N/A</v>
      </c>
      <c r="N72" s="45" t="e">
        <f t="shared" si="5"/>
        <v>#N/A</v>
      </c>
    </row>
    <row r="73" spans="1:14" x14ac:dyDescent="0.25">
      <c r="A73" s="30">
        <v>71</v>
      </c>
      <c r="B73" s="54" t="s">
        <v>16</v>
      </c>
      <c r="C73" s="55">
        <v>23.963999999999999</v>
      </c>
      <c r="D73" s="55">
        <v>18.387</v>
      </c>
      <c r="E73" s="55">
        <f t="shared" si="3"/>
        <v>30.331212269538256</v>
      </c>
      <c r="F73" s="100">
        <v>4205312696</v>
      </c>
      <c r="K73" s="45">
        <f>VLOOKUP(B73,'[1]Таблица 1'!$B$4:$D$65,2,FALSE)</f>
        <v>18.387</v>
      </c>
      <c r="M73" s="46">
        <f t="shared" si="4"/>
        <v>0</v>
      </c>
      <c r="N73" s="45">
        <f t="shared" si="5"/>
        <v>0</v>
      </c>
    </row>
    <row r="74" spans="1:14" x14ac:dyDescent="0.25">
      <c r="A74" s="45" t="s">
        <v>110</v>
      </c>
    </row>
    <row r="77" spans="1:14" x14ac:dyDescent="0.25">
      <c r="B77" s="50" t="s">
        <v>228</v>
      </c>
      <c r="C77" s="57">
        <v>1229.9930000000002</v>
      </c>
      <c r="D77" s="57">
        <v>560.03499999999997</v>
      </c>
      <c r="E77" s="55">
        <f t="shared" ref="E77" si="6">100*(C77/D77-1)</f>
        <v>119.62788040033216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FE436-3698-4CB1-B784-43CCE6C7EED6}">
  <sheetPr codeName="Лист18"/>
  <dimension ref="A1:N31"/>
  <sheetViews>
    <sheetView workbookViewId="0">
      <selection activeCell="I33" sqref="I33"/>
    </sheetView>
  </sheetViews>
  <sheetFormatPr defaultRowHeight="15" x14ac:dyDescent="0.25"/>
  <cols>
    <col min="2" max="2" width="24.85546875" style="36" customWidth="1"/>
    <col min="3" max="3" width="18.85546875" customWidth="1"/>
    <col min="4" max="4" width="22.140625" customWidth="1"/>
    <col min="5" max="5" width="17.7109375" customWidth="1"/>
    <col min="10" max="11" width="43.7109375" style="3" customWidth="1"/>
  </cols>
  <sheetData>
    <row r="1" spans="1:14" x14ac:dyDescent="0.25">
      <c r="A1" s="33"/>
      <c r="B1" s="35"/>
      <c r="C1" s="34" t="s">
        <v>134</v>
      </c>
      <c r="D1" s="19" t="s">
        <v>133</v>
      </c>
      <c r="E1" s="34" t="s">
        <v>135</v>
      </c>
    </row>
    <row r="2" spans="1:14" x14ac:dyDescent="0.25">
      <c r="C2" t="s">
        <v>97</v>
      </c>
      <c r="E2" t="s">
        <v>96</v>
      </c>
      <c r="J2" s="3" t="s">
        <v>139</v>
      </c>
      <c r="K2" s="3" t="s">
        <v>26</v>
      </c>
    </row>
    <row r="3" spans="1:14" x14ac:dyDescent="0.25">
      <c r="A3">
        <v>1</v>
      </c>
      <c r="B3" s="37" t="s">
        <v>8</v>
      </c>
      <c r="C3" s="73" t="e">
        <f>HLOOKUP(B3,#REF!,27,FALSE)/1000</f>
        <v>#REF!</v>
      </c>
      <c r="D3" s="73" t="e">
        <f>HLOOKUP(B3,#REF!,28,FALSE)/1000-HLOOKUP(B3,#REF!,27,FALSE)/1000</f>
        <v>#REF!</v>
      </c>
      <c r="E3" s="73" t="e">
        <f>HLOOKUP(B3,#REF!,29,FALSE)/1000</f>
        <v>#REF!</v>
      </c>
      <c r="J3" s="3" t="e">
        <f>(E3/D3-1)*100</f>
        <v>#REF!</v>
      </c>
      <c r="K3" s="3" t="e">
        <f t="shared" ref="K3:K24" si="0">(E3/C3-1)*100</f>
        <v>#REF!</v>
      </c>
      <c r="M3" t="e">
        <f>IF(J3&gt;0,1,0)</f>
        <v>#REF!</v>
      </c>
      <c r="N3" s="45" t="e">
        <f>IF(K3&gt;0,1,0)</f>
        <v>#REF!</v>
      </c>
    </row>
    <row r="4" spans="1:14" x14ac:dyDescent="0.25">
      <c r="A4" s="45">
        <v>2</v>
      </c>
      <c r="B4" s="37" t="s">
        <v>32</v>
      </c>
      <c r="C4" s="73" t="e">
        <f>HLOOKUP(B4,#REF!,27,FALSE)/1000</f>
        <v>#REF!</v>
      </c>
      <c r="D4" s="73" t="e">
        <f>HLOOKUP(B4,#REF!,28,FALSE)/1000-HLOOKUP(B4,#REF!,27,FALSE)/1000</f>
        <v>#REF!</v>
      </c>
      <c r="E4" s="73" t="e">
        <f>HLOOKUP(B4,#REF!,29,FALSE)/1000</f>
        <v>#REF!</v>
      </c>
      <c r="J4" s="3" t="e">
        <f t="shared" ref="J4:J24" si="1">(E4/D4-1)*100</f>
        <v>#REF!</v>
      </c>
      <c r="K4" s="3" t="e">
        <f t="shared" si="0"/>
        <v>#REF!</v>
      </c>
      <c r="M4" s="45" t="e">
        <f t="shared" ref="M4:N24" si="2">IF(J4&gt;0,1,0)</f>
        <v>#REF!</v>
      </c>
      <c r="N4" s="45" t="e">
        <f t="shared" si="2"/>
        <v>#REF!</v>
      </c>
    </row>
    <row r="5" spans="1:14" x14ac:dyDescent="0.25">
      <c r="A5" s="45">
        <v>3</v>
      </c>
      <c r="B5" s="37" t="s">
        <v>41</v>
      </c>
      <c r="C5" s="73" t="e">
        <f>HLOOKUP(B5,#REF!,27,FALSE)/1000</f>
        <v>#REF!</v>
      </c>
      <c r="D5" s="73" t="e">
        <f>HLOOKUP(B5,#REF!,28,FALSE)/1000-HLOOKUP(B5,#REF!,27,FALSE)/1000</f>
        <v>#REF!</v>
      </c>
      <c r="E5" s="73" t="e">
        <f>HLOOKUP(B5,#REF!,29,FALSE)/1000</f>
        <v>#REF!</v>
      </c>
      <c r="J5" s="3" t="e">
        <f t="shared" si="1"/>
        <v>#REF!</v>
      </c>
      <c r="K5" s="3" t="e">
        <f t="shared" si="0"/>
        <v>#REF!</v>
      </c>
      <c r="M5" s="45" t="e">
        <f t="shared" si="2"/>
        <v>#REF!</v>
      </c>
      <c r="N5" s="45" t="e">
        <f t="shared" si="2"/>
        <v>#REF!</v>
      </c>
    </row>
    <row r="6" spans="1:14" x14ac:dyDescent="0.25">
      <c r="A6" s="45">
        <v>4</v>
      </c>
      <c r="B6" s="37" t="s">
        <v>36</v>
      </c>
      <c r="C6" s="73" t="e">
        <f>HLOOKUP(B6,#REF!,27,FALSE)/1000</f>
        <v>#REF!</v>
      </c>
      <c r="D6" s="73" t="e">
        <f>HLOOKUP(B6,#REF!,28,FALSE)/1000-HLOOKUP(B6,#REF!,27,FALSE)/1000</f>
        <v>#REF!</v>
      </c>
      <c r="E6" s="73" t="e">
        <f>HLOOKUP(B6,#REF!,29,FALSE)/1000</f>
        <v>#REF!</v>
      </c>
      <c r="J6" s="3" t="e">
        <f t="shared" si="1"/>
        <v>#REF!</v>
      </c>
      <c r="K6" s="3" t="e">
        <f t="shared" si="0"/>
        <v>#REF!</v>
      </c>
      <c r="M6" s="45" t="e">
        <f t="shared" si="2"/>
        <v>#REF!</v>
      </c>
      <c r="N6" s="45" t="e">
        <f t="shared" si="2"/>
        <v>#REF!</v>
      </c>
    </row>
    <row r="7" spans="1:14" x14ac:dyDescent="0.25">
      <c r="A7" s="45">
        <v>5</v>
      </c>
      <c r="B7" s="37" t="s">
        <v>42</v>
      </c>
      <c r="C7" s="73" t="e">
        <f>HLOOKUP(B7,#REF!,27,FALSE)/1000</f>
        <v>#REF!</v>
      </c>
      <c r="D7" s="73" t="e">
        <f>HLOOKUP(B7,#REF!,28,FALSE)/1000-HLOOKUP(B7,#REF!,27,FALSE)/1000</f>
        <v>#REF!</v>
      </c>
      <c r="E7" s="73" t="e">
        <f>HLOOKUP(B7,#REF!,29,FALSE)/1000</f>
        <v>#REF!</v>
      </c>
      <c r="J7" s="3" t="e">
        <f t="shared" si="1"/>
        <v>#REF!</v>
      </c>
      <c r="K7" s="3" t="e">
        <f t="shared" si="0"/>
        <v>#REF!</v>
      </c>
      <c r="M7" s="45" t="e">
        <f t="shared" si="2"/>
        <v>#REF!</v>
      </c>
      <c r="N7" s="45" t="e">
        <f t="shared" si="2"/>
        <v>#REF!</v>
      </c>
    </row>
    <row r="8" spans="1:14" x14ac:dyDescent="0.25">
      <c r="A8" s="45">
        <v>6</v>
      </c>
      <c r="B8" s="37" t="s">
        <v>40</v>
      </c>
      <c r="C8" s="73" t="e">
        <f>HLOOKUP(B8,#REF!,27,FALSE)/1000</f>
        <v>#REF!</v>
      </c>
      <c r="D8" s="73" t="e">
        <f>HLOOKUP(B8,#REF!,28,FALSE)/1000-HLOOKUP(B8,#REF!,27,FALSE)/1000</f>
        <v>#REF!</v>
      </c>
      <c r="E8" s="73" t="e">
        <f>HLOOKUP(B8,#REF!,29,FALSE)/1000</f>
        <v>#REF!</v>
      </c>
      <c r="J8" s="3" t="e">
        <f t="shared" si="1"/>
        <v>#REF!</v>
      </c>
      <c r="K8" s="3" t="e">
        <f t="shared" si="0"/>
        <v>#REF!</v>
      </c>
      <c r="M8" s="45" t="e">
        <f t="shared" si="2"/>
        <v>#REF!</v>
      </c>
      <c r="N8" s="45" t="e">
        <f t="shared" si="2"/>
        <v>#REF!</v>
      </c>
    </row>
    <row r="9" spans="1:14" x14ac:dyDescent="0.25">
      <c r="A9" s="45">
        <v>7</v>
      </c>
      <c r="B9" s="37" t="s">
        <v>13</v>
      </c>
      <c r="C9" s="73" t="e">
        <f>HLOOKUP(B9,#REF!,27,FALSE)/1000</f>
        <v>#REF!</v>
      </c>
      <c r="D9" s="73" t="e">
        <f>HLOOKUP(B9,#REF!,28,FALSE)/1000-HLOOKUP(B9,#REF!,27,FALSE)/1000</f>
        <v>#REF!</v>
      </c>
      <c r="E9" s="73" t="e">
        <f>HLOOKUP(B9,#REF!,29,FALSE)/1000</f>
        <v>#REF!</v>
      </c>
      <c r="J9" s="3" t="e">
        <f t="shared" si="1"/>
        <v>#REF!</v>
      </c>
      <c r="K9" s="3" t="e">
        <f t="shared" si="0"/>
        <v>#REF!</v>
      </c>
      <c r="M9" s="45" t="e">
        <f t="shared" si="2"/>
        <v>#REF!</v>
      </c>
      <c r="N9" s="45" t="e">
        <f t="shared" si="2"/>
        <v>#REF!</v>
      </c>
    </row>
    <row r="10" spans="1:14" x14ac:dyDescent="0.25">
      <c r="A10" s="45">
        <v>8</v>
      </c>
      <c r="B10" s="37" t="s">
        <v>47</v>
      </c>
      <c r="C10" s="73" t="e">
        <f>HLOOKUP(B10,#REF!,27,FALSE)/1000</f>
        <v>#REF!</v>
      </c>
      <c r="D10" s="73" t="e">
        <f>HLOOKUP(B10,#REF!,28,FALSE)/1000-HLOOKUP(B10,#REF!,27,FALSE)/1000</f>
        <v>#REF!</v>
      </c>
      <c r="E10" s="73" t="e">
        <f>HLOOKUP(B10,#REF!,29,FALSE)/1000</f>
        <v>#REF!</v>
      </c>
      <c r="J10" s="3" t="e">
        <f t="shared" si="1"/>
        <v>#REF!</v>
      </c>
      <c r="K10" s="3" t="e">
        <f t="shared" si="0"/>
        <v>#REF!</v>
      </c>
      <c r="M10" s="45" t="e">
        <f t="shared" si="2"/>
        <v>#REF!</v>
      </c>
      <c r="N10" s="45" t="e">
        <f t="shared" si="2"/>
        <v>#REF!</v>
      </c>
    </row>
    <row r="11" spans="1:14" x14ac:dyDescent="0.25">
      <c r="A11" s="45">
        <v>9</v>
      </c>
      <c r="B11" s="37" t="s">
        <v>39</v>
      </c>
      <c r="C11" s="73" t="e">
        <f>HLOOKUP(B11,#REF!,27,FALSE)/1000</f>
        <v>#REF!</v>
      </c>
      <c r="D11" s="73" t="e">
        <f>HLOOKUP(B11,#REF!,28,FALSE)/1000-HLOOKUP(B11,#REF!,27,FALSE)/1000</f>
        <v>#REF!</v>
      </c>
      <c r="E11" s="73" t="e">
        <f>HLOOKUP(B11,#REF!,29,FALSE)/1000</f>
        <v>#REF!</v>
      </c>
      <c r="J11" s="3" t="e">
        <f t="shared" si="1"/>
        <v>#REF!</v>
      </c>
      <c r="K11" s="3" t="e">
        <f t="shared" si="0"/>
        <v>#REF!</v>
      </c>
      <c r="M11" s="45" t="e">
        <f t="shared" si="2"/>
        <v>#REF!</v>
      </c>
      <c r="N11" s="45" t="e">
        <f t="shared" si="2"/>
        <v>#REF!</v>
      </c>
    </row>
    <row r="12" spans="1:14" x14ac:dyDescent="0.25">
      <c r="A12" s="45">
        <v>10</v>
      </c>
      <c r="B12" s="37" t="s">
        <v>9</v>
      </c>
      <c r="C12" s="73" t="e">
        <f>HLOOKUP(B12,#REF!,27,FALSE)/1000</f>
        <v>#REF!</v>
      </c>
      <c r="D12" s="73" t="e">
        <f>HLOOKUP(B12,#REF!,28,FALSE)/1000-HLOOKUP(B12,#REF!,27,FALSE)/1000</f>
        <v>#REF!</v>
      </c>
      <c r="E12" s="73" t="e">
        <f>HLOOKUP(B12,#REF!,29,FALSE)/1000</f>
        <v>#REF!</v>
      </c>
      <c r="J12" s="3" t="e">
        <f t="shared" si="1"/>
        <v>#REF!</v>
      </c>
      <c r="K12" s="3" t="e">
        <f t="shared" si="0"/>
        <v>#REF!</v>
      </c>
      <c r="M12" s="45" t="e">
        <f t="shared" si="2"/>
        <v>#REF!</v>
      </c>
      <c r="N12" s="45" t="e">
        <f t="shared" si="2"/>
        <v>#REF!</v>
      </c>
    </row>
    <row r="13" spans="1:14" x14ac:dyDescent="0.25">
      <c r="A13" s="45">
        <v>11</v>
      </c>
      <c r="B13" s="37" t="s">
        <v>34</v>
      </c>
      <c r="C13" s="73" t="e">
        <f>HLOOKUP(B13,#REF!,27,FALSE)/1000</f>
        <v>#REF!</v>
      </c>
      <c r="D13" s="73" t="e">
        <f>HLOOKUP(B13,#REF!,28,FALSE)/1000-HLOOKUP(B13,#REF!,27,FALSE)/1000</f>
        <v>#REF!</v>
      </c>
      <c r="E13" s="73" t="e">
        <f>HLOOKUP(B13,#REF!,29,FALSE)/1000</f>
        <v>#REF!</v>
      </c>
      <c r="J13" s="3" t="e">
        <f t="shared" si="1"/>
        <v>#REF!</v>
      </c>
      <c r="K13" s="3" t="e">
        <f t="shared" si="0"/>
        <v>#REF!</v>
      </c>
      <c r="M13" s="45" t="e">
        <f t="shared" si="2"/>
        <v>#REF!</v>
      </c>
      <c r="N13" s="45" t="e">
        <f t="shared" si="2"/>
        <v>#REF!</v>
      </c>
    </row>
    <row r="14" spans="1:14" x14ac:dyDescent="0.25">
      <c r="A14" s="45">
        <v>12</v>
      </c>
      <c r="B14" s="37" t="s">
        <v>11</v>
      </c>
      <c r="C14" s="73" t="e">
        <f>HLOOKUP(B14,#REF!,27,FALSE)/1000</f>
        <v>#REF!</v>
      </c>
      <c r="D14" s="73" t="e">
        <f>HLOOKUP(B14,#REF!,28,FALSE)/1000-HLOOKUP(B14,#REF!,27,FALSE)/1000</f>
        <v>#REF!</v>
      </c>
      <c r="E14" s="73" t="e">
        <f>HLOOKUP(B14,#REF!,29,FALSE)/1000</f>
        <v>#REF!</v>
      </c>
      <c r="J14" s="3" t="e">
        <f t="shared" si="1"/>
        <v>#REF!</v>
      </c>
      <c r="K14" s="3" t="e">
        <f t="shared" si="0"/>
        <v>#REF!</v>
      </c>
      <c r="M14" s="45" t="e">
        <f t="shared" si="2"/>
        <v>#REF!</v>
      </c>
      <c r="N14" s="45" t="e">
        <f t="shared" si="2"/>
        <v>#REF!</v>
      </c>
    </row>
    <row r="15" spans="1:14" x14ac:dyDescent="0.25">
      <c r="A15" s="45">
        <v>13</v>
      </c>
      <c r="B15" s="37" t="s">
        <v>43</v>
      </c>
      <c r="C15" s="73" t="e">
        <f>HLOOKUP(B15,#REF!,27,FALSE)/1000</f>
        <v>#REF!</v>
      </c>
      <c r="D15" s="73" t="e">
        <f>HLOOKUP(B15,#REF!,28,FALSE)/1000-HLOOKUP(B15,#REF!,27,FALSE)/1000</f>
        <v>#REF!</v>
      </c>
      <c r="E15" s="73" t="e">
        <f>HLOOKUP(B15,#REF!,29,FALSE)/1000</f>
        <v>#REF!</v>
      </c>
      <c r="J15" s="3" t="e">
        <f t="shared" si="1"/>
        <v>#REF!</v>
      </c>
      <c r="K15" s="3" t="e">
        <f t="shared" si="0"/>
        <v>#REF!</v>
      </c>
      <c r="M15" s="45" t="e">
        <f t="shared" si="2"/>
        <v>#REF!</v>
      </c>
      <c r="N15" s="45" t="e">
        <f t="shared" si="2"/>
        <v>#REF!</v>
      </c>
    </row>
    <row r="16" spans="1:14" x14ac:dyDescent="0.25">
      <c r="A16" s="45">
        <v>14</v>
      </c>
      <c r="B16" s="37" t="s">
        <v>45</v>
      </c>
      <c r="C16" s="73" t="e">
        <f>HLOOKUP(B16,#REF!,27,FALSE)/1000</f>
        <v>#REF!</v>
      </c>
      <c r="D16" s="73" t="e">
        <f>HLOOKUP(B16,#REF!,28,FALSE)/1000-HLOOKUP(B16,#REF!,27,FALSE)/1000</f>
        <v>#REF!</v>
      </c>
      <c r="E16" s="73" t="e">
        <f>HLOOKUP(B16,#REF!,29,FALSE)/1000</f>
        <v>#REF!</v>
      </c>
      <c r="J16" s="3" t="e">
        <f t="shared" si="1"/>
        <v>#REF!</v>
      </c>
      <c r="K16" s="3" t="e">
        <f t="shared" si="0"/>
        <v>#REF!</v>
      </c>
      <c r="M16" s="45" t="e">
        <f t="shared" si="2"/>
        <v>#REF!</v>
      </c>
      <c r="N16" s="45" t="e">
        <f t="shared" si="2"/>
        <v>#REF!</v>
      </c>
    </row>
    <row r="17" spans="1:14" x14ac:dyDescent="0.25">
      <c r="A17" s="45">
        <v>15</v>
      </c>
      <c r="B17" s="37" t="s">
        <v>38</v>
      </c>
      <c r="C17" s="73" t="e">
        <f>HLOOKUP(B17,#REF!,27,FALSE)/1000</f>
        <v>#REF!</v>
      </c>
      <c r="D17" s="73" t="e">
        <f>HLOOKUP(B17,#REF!,28,FALSE)/1000-HLOOKUP(B17,#REF!,27,FALSE)/1000</f>
        <v>#REF!</v>
      </c>
      <c r="E17" s="73" t="e">
        <f>HLOOKUP(B17,#REF!,29,FALSE)/1000</f>
        <v>#REF!</v>
      </c>
      <c r="J17" s="3" t="e">
        <f t="shared" si="1"/>
        <v>#REF!</v>
      </c>
      <c r="K17" s="3" t="e">
        <f t="shared" si="0"/>
        <v>#REF!</v>
      </c>
      <c r="M17" s="45" t="e">
        <f t="shared" si="2"/>
        <v>#REF!</v>
      </c>
      <c r="N17" s="45" t="e">
        <f t="shared" si="2"/>
        <v>#REF!</v>
      </c>
    </row>
    <row r="18" spans="1:14" x14ac:dyDescent="0.25">
      <c r="A18" s="45">
        <v>16</v>
      </c>
      <c r="B18" s="36" t="s">
        <v>14</v>
      </c>
      <c r="C18" s="73" t="e">
        <f>HLOOKUP(B18,#REF!,27,FALSE)/1000</f>
        <v>#REF!</v>
      </c>
      <c r="D18" s="73" t="e">
        <f>HLOOKUP(B18,#REF!,28,FALSE)/1000-HLOOKUP(B18,#REF!,27,FALSE)/1000</f>
        <v>#REF!</v>
      </c>
      <c r="E18" s="73" t="e">
        <f>HLOOKUP(B18,#REF!,29,FALSE)/1000</f>
        <v>#REF!</v>
      </c>
      <c r="J18" s="3" t="e">
        <f t="shared" si="1"/>
        <v>#REF!</v>
      </c>
      <c r="K18" s="3" t="e">
        <f t="shared" si="0"/>
        <v>#REF!</v>
      </c>
      <c r="M18" s="45" t="e">
        <f t="shared" si="2"/>
        <v>#REF!</v>
      </c>
      <c r="N18" s="45" t="e">
        <f t="shared" si="2"/>
        <v>#REF!</v>
      </c>
    </row>
    <row r="19" spans="1:14" x14ac:dyDescent="0.25">
      <c r="A19" s="45">
        <v>17</v>
      </c>
      <c r="B19" s="37" t="s">
        <v>33</v>
      </c>
      <c r="C19" s="73" t="e">
        <f>HLOOKUP(B19,#REF!,27,FALSE)/1000</f>
        <v>#REF!</v>
      </c>
      <c r="D19" s="73" t="e">
        <f>HLOOKUP(B19,#REF!,28,FALSE)/1000-HLOOKUP(B19,#REF!,27,FALSE)/1000</f>
        <v>#REF!</v>
      </c>
      <c r="E19" s="73" t="e">
        <f>HLOOKUP(B19,#REF!,29,FALSE)/1000</f>
        <v>#REF!</v>
      </c>
      <c r="J19" s="3" t="e">
        <f t="shared" si="1"/>
        <v>#REF!</v>
      </c>
      <c r="K19" s="3" t="e">
        <f t="shared" si="0"/>
        <v>#REF!</v>
      </c>
      <c r="M19" s="45" t="e">
        <f t="shared" si="2"/>
        <v>#REF!</v>
      </c>
      <c r="N19" s="45" t="e">
        <f t="shared" si="2"/>
        <v>#REF!</v>
      </c>
    </row>
    <row r="20" spans="1:14" x14ac:dyDescent="0.25">
      <c r="A20" s="45">
        <v>18</v>
      </c>
      <c r="B20" s="37" t="s">
        <v>16</v>
      </c>
      <c r="C20" s="73" t="e">
        <f>HLOOKUP(B20,#REF!,27,FALSE)/1000</f>
        <v>#REF!</v>
      </c>
      <c r="D20" s="73" t="e">
        <f>HLOOKUP(B20,#REF!,28,FALSE)/1000-HLOOKUP(B20,#REF!,27,FALSE)/1000</f>
        <v>#REF!</v>
      </c>
      <c r="E20" s="73" t="e">
        <f>HLOOKUP(B20,#REF!,29,FALSE)/1000</f>
        <v>#REF!</v>
      </c>
      <c r="J20" s="3" t="e">
        <f t="shared" si="1"/>
        <v>#REF!</v>
      </c>
      <c r="K20" s="3" t="e">
        <f t="shared" si="0"/>
        <v>#REF!</v>
      </c>
      <c r="M20" s="45" t="e">
        <f t="shared" si="2"/>
        <v>#REF!</v>
      </c>
      <c r="N20" s="45" t="e">
        <f t="shared" si="2"/>
        <v>#REF!</v>
      </c>
    </row>
    <row r="21" spans="1:14" x14ac:dyDescent="0.25">
      <c r="A21" s="45">
        <v>19</v>
      </c>
      <c r="B21" s="37" t="s">
        <v>87</v>
      </c>
      <c r="C21" s="73" t="e">
        <f>HLOOKUP(B21,#REF!,27,FALSE)/1000</f>
        <v>#REF!</v>
      </c>
      <c r="D21" s="73" t="e">
        <f>HLOOKUP(B21,#REF!,28,FALSE)/1000-HLOOKUP(B21,#REF!,27,FALSE)/1000</f>
        <v>#REF!</v>
      </c>
      <c r="E21" s="73" t="e">
        <f>HLOOKUP(B21,#REF!,29,FALSE)/1000</f>
        <v>#REF!</v>
      </c>
      <c r="J21" s="3" t="e">
        <f t="shared" si="1"/>
        <v>#REF!</v>
      </c>
      <c r="K21" s="3" t="e">
        <f t="shared" si="0"/>
        <v>#REF!</v>
      </c>
      <c r="M21" s="45" t="e">
        <f t="shared" si="2"/>
        <v>#REF!</v>
      </c>
      <c r="N21" s="45" t="e">
        <f t="shared" si="2"/>
        <v>#REF!</v>
      </c>
    </row>
    <row r="22" spans="1:14" x14ac:dyDescent="0.25">
      <c r="A22" s="45">
        <v>20</v>
      </c>
      <c r="B22" s="37" t="s">
        <v>15</v>
      </c>
      <c r="C22" s="73" t="e">
        <f>HLOOKUP(B22,#REF!,27,FALSE)/1000</f>
        <v>#REF!</v>
      </c>
      <c r="D22" s="73" t="e">
        <f>HLOOKUP(B22,#REF!,28,FALSE)/1000-HLOOKUP(B22,#REF!,27,FALSE)/1000</f>
        <v>#REF!</v>
      </c>
      <c r="E22" s="73" t="e">
        <f>HLOOKUP(B22,#REF!,29,FALSE)/1000</f>
        <v>#REF!</v>
      </c>
      <c r="J22" s="3" t="e">
        <f t="shared" si="1"/>
        <v>#REF!</v>
      </c>
      <c r="K22" s="3" t="e">
        <f t="shared" si="0"/>
        <v>#REF!</v>
      </c>
      <c r="M22" s="45" t="e">
        <f t="shared" si="2"/>
        <v>#REF!</v>
      </c>
      <c r="N22" s="45" t="e">
        <f t="shared" si="2"/>
        <v>#REF!</v>
      </c>
    </row>
    <row r="23" spans="1:14" x14ac:dyDescent="0.25">
      <c r="A23" s="45">
        <v>21</v>
      </c>
      <c r="B23" s="37" t="s">
        <v>37</v>
      </c>
      <c r="C23" s="73" t="e">
        <f>HLOOKUP(B23,#REF!,27,FALSE)/1000</f>
        <v>#REF!</v>
      </c>
      <c r="D23" s="73" t="e">
        <f>HLOOKUP(B23,#REF!,28,FALSE)/1000-HLOOKUP(B23,#REF!,27,FALSE)/1000</f>
        <v>#REF!</v>
      </c>
      <c r="E23" s="73" t="e">
        <f>HLOOKUP(B23,#REF!,29,FALSE)/1000</f>
        <v>#REF!</v>
      </c>
      <c r="J23" s="3" t="e">
        <f t="shared" si="1"/>
        <v>#REF!</v>
      </c>
      <c r="K23" s="3" t="e">
        <f t="shared" si="0"/>
        <v>#REF!</v>
      </c>
      <c r="M23" s="45" t="e">
        <f t="shared" si="2"/>
        <v>#REF!</v>
      </c>
      <c r="N23" s="45" t="e">
        <f t="shared" si="2"/>
        <v>#REF!</v>
      </c>
    </row>
    <row r="24" spans="1:14" x14ac:dyDescent="0.25">
      <c r="A24" s="45">
        <v>22</v>
      </c>
      <c r="B24" s="36" t="s">
        <v>10</v>
      </c>
      <c r="C24" s="73" t="e">
        <f>HLOOKUP(B24,#REF!,27,FALSE)/1000</f>
        <v>#REF!</v>
      </c>
      <c r="D24" s="73" t="e">
        <f>HLOOKUP(B24,#REF!,28,FALSE)/1000-HLOOKUP(B24,#REF!,27,FALSE)/1000</f>
        <v>#REF!</v>
      </c>
      <c r="E24" s="73" t="e">
        <f>HLOOKUP(B24,#REF!,29,FALSE)/1000</f>
        <v>#REF!</v>
      </c>
      <c r="J24" s="3" t="e">
        <f t="shared" si="1"/>
        <v>#REF!</v>
      </c>
      <c r="K24" s="3" t="e">
        <f t="shared" si="0"/>
        <v>#REF!</v>
      </c>
      <c r="M24" s="45" t="e">
        <f t="shared" si="2"/>
        <v>#REF!</v>
      </c>
      <c r="N24" s="45" t="e">
        <f t="shared" si="2"/>
        <v>#REF!</v>
      </c>
    </row>
    <row r="25" spans="1:14" s="45" customFormat="1" x14ac:dyDescent="0.25">
      <c r="B25" s="36" t="s">
        <v>228</v>
      </c>
      <c r="C25" s="73" t="e">
        <f>HLOOKUP(B25,#REF!,27,FALSE)/1000</f>
        <v>#REF!</v>
      </c>
      <c r="D25" s="73" t="e">
        <f>HLOOKUP(B25,#REF!,28,FALSE)/1000-HLOOKUP(B25,#REF!,27,FALSE)/1000</f>
        <v>#REF!</v>
      </c>
      <c r="E25" s="73" t="e">
        <f>HLOOKUP(B25,#REF!,29,FALSE)/1000</f>
        <v>#REF!</v>
      </c>
      <c r="J25" s="3"/>
      <c r="K25" s="3"/>
    </row>
    <row r="26" spans="1:14" x14ac:dyDescent="0.25">
      <c r="A26" s="45"/>
      <c r="B26" s="36" t="s">
        <v>137</v>
      </c>
      <c r="C26" s="73" t="e">
        <f>SUM(C3:C25)</f>
        <v>#REF!</v>
      </c>
      <c r="D26" s="73" t="e">
        <f>SUM(D3:D25)</f>
        <v>#REF!</v>
      </c>
      <c r="E26" s="73" t="e">
        <f>SUM(E3:E25)</f>
        <v>#REF!</v>
      </c>
      <c r="M26" t="e">
        <f>SUM(M3:M24)</f>
        <v>#REF!</v>
      </c>
      <c r="N26" s="45" t="e">
        <f>SUM(N3:N24)</f>
        <v>#REF!</v>
      </c>
    </row>
    <row r="27" spans="1:14" s="45" customFormat="1" x14ac:dyDescent="0.25">
      <c r="B27" s="36"/>
      <c r="C27" s="73"/>
      <c r="D27" s="73"/>
      <c r="E27" s="73"/>
      <c r="J27" s="3"/>
      <c r="K27" s="3"/>
    </row>
    <row r="28" spans="1:14" x14ac:dyDescent="0.25">
      <c r="B28" s="3" t="s">
        <v>138</v>
      </c>
      <c r="C28" s="44" t="e">
        <f>C26/ТБ2!F75</f>
        <v>#REF!</v>
      </c>
      <c r="D28" s="44" t="e">
        <f>D26/ТБ2!F75</f>
        <v>#REF!</v>
      </c>
      <c r="E28" s="44" t="e">
        <f>E26/ТБ2!I75</f>
        <v>#REF!</v>
      </c>
    </row>
    <row r="30" spans="1:14" x14ac:dyDescent="0.25">
      <c r="B30" s="3" t="s">
        <v>165</v>
      </c>
      <c r="D30" s="21" t="e">
        <f>D26/C26-1</f>
        <v>#REF!</v>
      </c>
      <c r="E30" s="21" t="e">
        <f>E26/D26-1</f>
        <v>#REF!</v>
      </c>
    </row>
    <row r="31" spans="1:14" x14ac:dyDescent="0.25">
      <c r="E31" s="44" t="e">
        <f>D30/E30</f>
        <v>#REF!</v>
      </c>
    </row>
  </sheetData>
  <sortState xmlns:xlrd2="http://schemas.microsoft.com/office/spreadsheetml/2017/richdata2" ref="B2:F24">
    <sortCondition descending="1" ref="E1"/>
  </sortState>
  <conditionalFormatting sqref="J1:K1048576"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C4E34-7318-42E7-9AA4-4148F2806049}">
  <sheetPr codeName="Лист5">
    <tabColor theme="9" tint="0.79998168889431442"/>
  </sheetPr>
  <dimension ref="A1:R30"/>
  <sheetViews>
    <sheetView workbookViewId="0"/>
  </sheetViews>
  <sheetFormatPr defaultRowHeight="15" x14ac:dyDescent="0.25"/>
  <cols>
    <col min="1" max="1" width="9.140625" style="19"/>
    <col min="2" max="2" width="40.7109375" style="50" customWidth="1"/>
    <col min="3" max="8" width="15.7109375" style="57" customWidth="1"/>
    <col min="9" max="9" width="11.140625" style="57" customWidth="1"/>
    <col min="10" max="10" width="13.85546875" style="57" customWidth="1"/>
    <col min="11" max="11" width="13.7109375" style="45" bestFit="1" customWidth="1"/>
    <col min="15" max="15" width="11" bestFit="1" customWidth="1"/>
  </cols>
  <sheetData>
    <row r="1" spans="1:18" x14ac:dyDescent="0.25">
      <c r="A1" t="s">
        <v>297</v>
      </c>
    </row>
    <row r="2" spans="1:18" s="17" customFormat="1" x14ac:dyDescent="0.25">
      <c r="A2" s="188" t="s">
        <v>265</v>
      </c>
      <c r="B2" s="188" t="s">
        <v>0</v>
      </c>
      <c r="C2" s="189" t="s">
        <v>266</v>
      </c>
      <c r="D2" s="190"/>
      <c r="E2" s="191"/>
      <c r="F2" s="189" t="s">
        <v>267</v>
      </c>
      <c r="G2" s="190"/>
      <c r="H2" s="191"/>
      <c r="I2" s="187" t="s">
        <v>26</v>
      </c>
      <c r="J2" s="187" t="s">
        <v>252</v>
      </c>
      <c r="K2" s="45"/>
    </row>
    <row r="3" spans="1:18" ht="33.75" x14ac:dyDescent="0.25">
      <c r="A3" s="188"/>
      <c r="B3" s="188"/>
      <c r="C3" s="134" t="s">
        <v>23</v>
      </c>
      <c r="D3" s="151" t="s">
        <v>298</v>
      </c>
      <c r="E3" s="151" t="s">
        <v>299</v>
      </c>
      <c r="F3" s="134" t="s">
        <v>23</v>
      </c>
      <c r="G3" s="151" t="s">
        <v>298</v>
      </c>
      <c r="H3" s="151" t="s">
        <v>299</v>
      </c>
      <c r="I3" s="187"/>
      <c r="J3" s="187"/>
      <c r="K3" s="100"/>
    </row>
    <row r="4" spans="1:18" x14ac:dyDescent="0.25">
      <c r="A4" s="118">
        <v>1</v>
      </c>
      <c r="B4" s="142" t="s">
        <v>15</v>
      </c>
      <c r="C4" s="121">
        <v>6275.4309999999996</v>
      </c>
      <c r="D4" s="121">
        <v>2212.4169999999999</v>
      </c>
      <c r="E4" s="121">
        <v>1955.3309999999999</v>
      </c>
      <c r="F4" s="121">
        <v>5746.174</v>
      </c>
      <c r="G4" s="121">
        <v>3114.0120000000002</v>
      </c>
      <c r="H4" s="121">
        <v>2411.3919999999998</v>
      </c>
      <c r="I4" s="121">
        <f t="shared" ref="I4:I24" si="0">(C4/F4-1)*100</f>
        <v>9.2105982171789336</v>
      </c>
      <c r="J4" s="121">
        <f t="shared" ref="J4:J24" si="1">(D4/G4-1)*100</f>
        <v>-28.952842827837532</v>
      </c>
      <c r="K4" s="20">
        <v>7715825027</v>
      </c>
      <c r="L4" s="81"/>
      <c r="O4" s="81"/>
      <c r="P4" s="45"/>
      <c r="Q4" s="45"/>
      <c r="R4" s="45"/>
    </row>
    <row r="5" spans="1:18" x14ac:dyDescent="0.25">
      <c r="A5" s="118">
        <v>2</v>
      </c>
      <c r="B5" s="142" t="s">
        <v>251</v>
      </c>
      <c r="C5" s="121">
        <v>3735.75</v>
      </c>
      <c r="D5" s="121">
        <v>1592.6769999999999</v>
      </c>
      <c r="E5" s="121">
        <v>1391.8530000000001</v>
      </c>
      <c r="F5" s="121">
        <v>3368.752</v>
      </c>
      <c r="G5" s="121">
        <v>1428.787</v>
      </c>
      <c r="H5" s="121">
        <v>1236.2850000000001</v>
      </c>
      <c r="I5" s="121">
        <f t="shared" si="0"/>
        <v>10.894182771542704</v>
      </c>
      <c r="J5" s="121">
        <f t="shared" si="1"/>
        <v>11.470569091124139</v>
      </c>
      <c r="K5" s="20" t="s">
        <v>18</v>
      </c>
      <c r="L5" s="81"/>
      <c r="O5" s="81"/>
      <c r="P5" s="45"/>
      <c r="Q5" s="45"/>
      <c r="R5" s="45"/>
    </row>
    <row r="6" spans="1:18" x14ac:dyDescent="0.25">
      <c r="A6" s="118">
        <v>3</v>
      </c>
      <c r="B6" s="142" t="s">
        <v>237</v>
      </c>
      <c r="C6" s="121">
        <v>3524.8212822999999</v>
      </c>
      <c r="D6" s="121">
        <v>2500.9397209800004</v>
      </c>
      <c r="E6" s="121">
        <v>2348.73646869</v>
      </c>
      <c r="F6" s="121">
        <v>3264.2433960000003</v>
      </c>
      <c r="G6" s="121">
        <v>2547.63158518</v>
      </c>
      <c r="H6" s="121">
        <v>2388.66781941</v>
      </c>
      <c r="I6" s="121">
        <f t="shared" si="0"/>
        <v>7.9827958484747663</v>
      </c>
      <c r="J6" s="121">
        <f t="shared" si="1"/>
        <v>-1.8327557434761776</v>
      </c>
      <c r="K6" s="20">
        <v>7730634468</v>
      </c>
      <c r="L6" s="81"/>
      <c r="N6" s="45"/>
      <c r="O6" s="81"/>
      <c r="P6" s="45"/>
      <c r="Q6" s="45"/>
      <c r="R6" s="45"/>
    </row>
    <row r="7" spans="1:18" s="45" customFormat="1" x14ac:dyDescent="0.25">
      <c r="A7" s="118">
        <v>4</v>
      </c>
      <c r="B7" s="142" t="s">
        <v>33</v>
      </c>
      <c r="C7" s="121">
        <v>2772.5189999999998</v>
      </c>
      <c r="D7" s="121">
        <v>1447.08</v>
      </c>
      <c r="E7" s="121">
        <v>1362.9469999999999</v>
      </c>
      <c r="F7" s="121">
        <v>2299.8789999999999</v>
      </c>
      <c r="G7" s="121">
        <v>1442.193</v>
      </c>
      <c r="H7" s="121">
        <v>1371.002</v>
      </c>
      <c r="I7" s="121">
        <f t="shared" si="0"/>
        <v>20.550646360091118</v>
      </c>
      <c r="J7" s="121">
        <f t="shared" si="1"/>
        <v>0.33885894606338063</v>
      </c>
      <c r="K7" s="20">
        <v>5410059568</v>
      </c>
      <c r="L7" s="81"/>
      <c r="O7" s="81"/>
    </row>
    <row r="8" spans="1:18" s="45" customFormat="1" x14ac:dyDescent="0.25">
      <c r="A8" s="118">
        <v>5</v>
      </c>
      <c r="B8" s="142" t="s">
        <v>287</v>
      </c>
      <c r="C8" s="121">
        <v>2025.3694689999998</v>
      </c>
      <c r="D8" s="121">
        <v>1252.8437689999998</v>
      </c>
      <c r="E8" s="121">
        <v>867.41688900000008</v>
      </c>
      <c r="F8" s="121">
        <v>965.84020099999998</v>
      </c>
      <c r="G8" s="121">
        <v>863.02411399999994</v>
      </c>
      <c r="H8" s="121">
        <v>725.24537299999997</v>
      </c>
      <c r="I8" s="121">
        <f t="shared" si="0"/>
        <v>109.7002658310347</v>
      </c>
      <c r="J8" s="121">
        <f t="shared" si="1"/>
        <v>45.169033944282113</v>
      </c>
      <c r="K8" s="20" t="s">
        <v>288</v>
      </c>
      <c r="L8" s="81"/>
      <c r="O8" s="81"/>
    </row>
    <row r="9" spans="1:18" x14ac:dyDescent="0.25">
      <c r="A9" s="118">
        <v>6</v>
      </c>
      <c r="B9" s="142" t="s">
        <v>19</v>
      </c>
      <c r="C9" s="121">
        <v>2017.0239999999999</v>
      </c>
      <c r="D9" s="121">
        <v>1723.4849999999999</v>
      </c>
      <c r="E9" s="121">
        <v>1459.9179999999999</v>
      </c>
      <c r="F9" s="121">
        <v>1104.414</v>
      </c>
      <c r="G9" s="121">
        <v>293.55399999999997</v>
      </c>
      <c r="H9" s="121">
        <v>256.27499999999998</v>
      </c>
      <c r="I9" s="121">
        <f t="shared" si="0"/>
        <v>82.632961914644312</v>
      </c>
      <c r="J9" s="121">
        <f t="shared" si="1"/>
        <v>487.11003767620269</v>
      </c>
      <c r="K9" s="20">
        <v>7704784072</v>
      </c>
      <c r="L9" s="81"/>
      <c r="M9" s="45"/>
      <c r="N9" s="45"/>
      <c r="O9" s="81"/>
      <c r="P9" s="45"/>
      <c r="Q9" s="45"/>
      <c r="R9" s="45"/>
    </row>
    <row r="10" spans="1:18" x14ac:dyDescent="0.25">
      <c r="A10" s="118">
        <v>7</v>
      </c>
      <c r="B10" s="142" t="s">
        <v>211</v>
      </c>
      <c r="C10" s="121">
        <v>1654.54</v>
      </c>
      <c r="D10" s="121">
        <v>763.85799999999995</v>
      </c>
      <c r="E10" s="121">
        <v>602.173</v>
      </c>
      <c r="F10" s="121">
        <v>1245.037</v>
      </c>
      <c r="G10" s="121">
        <v>679.77</v>
      </c>
      <c r="H10" s="121">
        <v>551.327</v>
      </c>
      <c r="I10" s="121">
        <f t="shared" si="0"/>
        <v>32.890829750441156</v>
      </c>
      <c r="J10" s="121">
        <f t="shared" si="1"/>
        <v>12.370066345969954</v>
      </c>
      <c r="K10" s="20">
        <v>7716748537</v>
      </c>
      <c r="L10" s="81"/>
      <c r="M10" s="45"/>
      <c r="N10" s="45"/>
      <c r="O10" s="81"/>
      <c r="P10" s="45"/>
      <c r="Q10" s="45"/>
      <c r="R10" s="45"/>
    </row>
    <row r="11" spans="1:18" x14ac:dyDescent="0.25">
      <c r="A11" s="118">
        <v>8</v>
      </c>
      <c r="B11" s="142" t="s">
        <v>316</v>
      </c>
      <c r="C11" s="120">
        <v>1426.8720000000001</v>
      </c>
      <c r="D11" s="120">
        <v>736.43100000000004</v>
      </c>
      <c r="E11" s="121">
        <v>622.76599999999996</v>
      </c>
      <c r="F11" s="121">
        <v>1077.0170000000001</v>
      </c>
      <c r="G11" s="121">
        <v>936.07799999999997</v>
      </c>
      <c r="H11" s="121">
        <v>773.68499999999995</v>
      </c>
      <c r="I11" s="121">
        <f t="shared" si="0"/>
        <v>32.483702671359872</v>
      </c>
      <c r="J11" s="121">
        <f t="shared" si="1"/>
        <v>-21.32803035644465</v>
      </c>
      <c r="K11" s="20" t="s">
        <v>214</v>
      </c>
      <c r="L11" s="81"/>
      <c r="M11" s="45"/>
      <c r="N11" s="45"/>
      <c r="O11" s="81"/>
      <c r="P11" s="45"/>
      <c r="Q11" s="45"/>
      <c r="R11" s="45"/>
    </row>
    <row r="12" spans="1:18" x14ac:dyDescent="0.25">
      <c r="A12" s="118">
        <v>9</v>
      </c>
      <c r="B12" s="142" t="s">
        <v>317</v>
      </c>
      <c r="C12" s="120">
        <v>1323.056</v>
      </c>
      <c r="D12" s="120">
        <v>716.82399999999996</v>
      </c>
      <c r="E12" s="121">
        <v>551.63</v>
      </c>
      <c r="F12" s="121">
        <v>486.25200000000001</v>
      </c>
      <c r="G12" s="121">
        <v>353.702</v>
      </c>
      <c r="H12" s="121">
        <v>286.91800000000001</v>
      </c>
      <c r="I12" s="121">
        <f t="shared" si="0"/>
        <v>172.09265977312174</v>
      </c>
      <c r="J12" s="121">
        <f t="shared" si="1"/>
        <v>102.66325890156121</v>
      </c>
      <c r="K12" s="20" t="s">
        <v>289</v>
      </c>
      <c r="L12" s="81"/>
      <c r="M12" s="45"/>
      <c r="N12" s="45"/>
      <c r="O12" s="81"/>
      <c r="P12" s="45"/>
      <c r="Q12" s="45"/>
      <c r="R12" s="45"/>
    </row>
    <row r="13" spans="1:18" s="45" customFormat="1" x14ac:dyDescent="0.25">
      <c r="A13" s="118">
        <v>10</v>
      </c>
      <c r="B13" s="142" t="s">
        <v>318</v>
      </c>
      <c r="C13" s="121">
        <v>1090.7929999999999</v>
      </c>
      <c r="D13" s="121">
        <v>447.07499999999999</v>
      </c>
      <c r="E13" s="121">
        <v>383.47899999999998</v>
      </c>
      <c r="F13" s="121">
        <v>1277.7429999999999</v>
      </c>
      <c r="G13" s="121">
        <v>664.08600000000001</v>
      </c>
      <c r="H13" s="121">
        <v>598.11500000000001</v>
      </c>
      <c r="I13" s="121">
        <f t="shared" si="0"/>
        <v>-14.63126779015812</v>
      </c>
      <c r="J13" s="121">
        <f t="shared" si="1"/>
        <v>-32.678147107452951</v>
      </c>
      <c r="K13" s="20" t="s">
        <v>12</v>
      </c>
      <c r="L13" s="81"/>
      <c r="O13" s="81"/>
    </row>
    <row r="14" spans="1:18" x14ac:dyDescent="0.25">
      <c r="A14" s="118">
        <v>11</v>
      </c>
      <c r="B14" s="142" t="s">
        <v>235</v>
      </c>
      <c r="C14" s="120">
        <v>906.66600000000005</v>
      </c>
      <c r="D14" s="120">
        <v>402.666</v>
      </c>
      <c r="E14" s="121">
        <v>340.53899999999999</v>
      </c>
      <c r="F14" s="121">
        <v>745.24400000000003</v>
      </c>
      <c r="G14" s="121">
        <v>391.87900000000002</v>
      </c>
      <c r="H14" s="121">
        <v>319.18299999999999</v>
      </c>
      <c r="I14" s="121">
        <f t="shared" si="0"/>
        <v>21.660288442443012</v>
      </c>
      <c r="J14" s="121">
        <f t="shared" si="1"/>
        <v>2.7526353797983516</v>
      </c>
      <c r="K14" s="20" t="s">
        <v>111</v>
      </c>
      <c r="L14" s="81"/>
      <c r="M14" s="45"/>
      <c r="N14" s="45"/>
      <c r="O14" s="81"/>
      <c r="P14" s="45"/>
      <c r="Q14" s="45"/>
      <c r="R14" s="45"/>
    </row>
    <row r="15" spans="1:18" x14ac:dyDescent="0.25">
      <c r="A15" s="118">
        <v>12</v>
      </c>
      <c r="B15" s="142" t="s">
        <v>224</v>
      </c>
      <c r="C15" s="120">
        <v>828.96500000000003</v>
      </c>
      <c r="D15" s="120">
        <v>245.06899999999999</v>
      </c>
      <c r="E15" s="121">
        <v>220.721</v>
      </c>
      <c r="F15" s="121">
        <v>818.39200000000005</v>
      </c>
      <c r="G15" s="121">
        <v>322.767</v>
      </c>
      <c r="H15" s="121">
        <v>288.351</v>
      </c>
      <c r="I15" s="121">
        <f t="shared" si="0"/>
        <v>1.2919236747182206</v>
      </c>
      <c r="J15" s="121">
        <f t="shared" si="1"/>
        <v>-24.072473332156019</v>
      </c>
      <c r="K15" s="20">
        <v>7838492459</v>
      </c>
      <c r="L15" s="81"/>
      <c r="M15" s="45"/>
      <c r="N15" s="45"/>
      <c r="O15" s="81"/>
      <c r="P15" s="45"/>
      <c r="Q15" s="45"/>
      <c r="R15" s="45"/>
    </row>
    <row r="16" spans="1:18" x14ac:dyDescent="0.25">
      <c r="A16" s="118">
        <v>13</v>
      </c>
      <c r="B16" s="142" t="s">
        <v>24</v>
      </c>
      <c r="C16" s="120">
        <v>757.82100000000003</v>
      </c>
      <c r="D16" s="120">
        <v>730.70500000000004</v>
      </c>
      <c r="E16" s="121">
        <v>724.53700000000003</v>
      </c>
      <c r="F16" s="121">
        <v>673.923</v>
      </c>
      <c r="G16" s="121">
        <v>583.47299999999996</v>
      </c>
      <c r="H16" s="121">
        <v>568.99599999999998</v>
      </c>
      <c r="I16" s="121">
        <f t="shared" si="0"/>
        <v>12.449196718319456</v>
      </c>
      <c r="J16" s="121">
        <f t="shared" si="1"/>
        <v>25.233729752704946</v>
      </c>
      <c r="K16" s="20">
        <v>5407487242</v>
      </c>
      <c r="L16" s="81"/>
      <c r="M16" s="45"/>
      <c r="N16" s="45"/>
      <c r="O16" s="81"/>
      <c r="P16" s="45"/>
      <c r="Q16" s="45"/>
      <c r="R16" s="45"/>
    </row>
    <row r="17" spans="1:18" x14ac:dyDescent="0.25">
      <c r="A17" s="118">
        <v>14</v>
      </c>
      <c r="B17" s="142" t="s">
        <v>22</v>
      </c>
      <c r="C17" s="120">
        <v>433.54399999999998</v>
      </c>
      <c r="D17" s="120">
        <v>391.31200000000001</v>
      </c>
      <c r="E17" s="121">
        <v>375.036</v>
      </c>
      <c r="F17" s="121">
        <v>658</v>
      </c>
      <c r="G17" s="121">
        <v>536</v>
      </c>
      <c r="H17" s="121">
        <v>504.09899999999999</v>
      </c>
      <c r="I17" s="121">
        <f t="shared" si="0"/>
        <v>-34.111854103343461</v>
      </c>
      <c r="J17" s="121">
        <f t="shared" si="1"/>
        <v>-26.994029850746269</v>
      </c>
      <c r="K17" s="20">
        <v>1831178411</v>
      </c>
      <c r="L17" s="81"/>
      <c r="M17" s="45"/>
      <c r="N17" s="45"/>
      <c r="O17" s="81"/>
      <c r="P17" s="45"/>
      <c r="Q17" s="45"/>
      <c r="R17" s="45"/>
    </row>
    <row r="18" spans="1:18" x14ac:dyDescent="0.25">
      <c r="A18" s="118">
        <v>15</v>
      </c>
      <c r="B18" s="142" t="s">
        <v>10</v>
      </c>
      <c r="C18" s="120">
        <v>319.78899999999999</v>
      </c>
      <c r="D18" s="120">
        <v>150.86799999999999</v>
      </c>
      <c r="E18" s="121">
        <v>114.962</v>
      </c>
      <c r="F18" s="121">
        <v>166.321</v>
      </c>
      <c r="G18" s="121">
        <v>165.249</v>
      </c>
      <c r="H18" s="121">
        <v>130.52799999999999</v>
      </c>
      <c r="I18" s="121">
        <f t="shared" si="0"/>
        <v>92.27217248573541</v>
      </c>
      <c r="J18" s="121">
        <f t="shared" si="1"/>
        <v>-8.7026245242028732</v>
      </c>
      <c r="K18" s="20">
        <v>5260271530</v>
      </c>
      <c r="L18" s="81"/>
      <c r="M18" s="45"/>
      <c r="N18" s="45"/>
      <c r="O18" s="81"/>
      <c r="P18" s="45"/>
      <c r="Q18" s="45"/>
      <c r="R18" s="45"/>
    </row>
    <row r="19" spans="1:18" x14ac:dyDescent="0.25">
      <c r="A19" s="118">
        <v>16</v>
      </c>
      <c r="B19" s="142" t="s">
        <v>11</v>
      </c>
      <c r="C19" s="120">
        <v>156.80600000000001</v>
      </c>
      <c r="D19" s="120">
        <v>122.74</v>
      </c>
      <c r="E19" s="121">
        <v>102.15900000000001</v>
      </c>
      <c r="F19" s="121">
        <v>84.698999999999998</v>
      </c>
      <c r="G19" s="121">
        <v>68.14</v>
      </c>
      <c r="H19" s="121">
        <v>51.497999999999998</v>
      </c>
      <c r="I19" s="121">
        <f t="shared" si="0"/>
        <v>85.133236519911719</v>
      </c>
      <c r="J19" s="121">
        <f t="shared" si="1"/>
        <v>80.129145876137358</v>
      </c>
      <c r="K19" s="20">
        <v>5407264020</v>
      </c>
      <c r="L19" s="81"/>
      <c r="M19" s="45"/>
      <c r="N19" s="45"/>
      <c r="O19" s="81"/>
      <c r="P19" s="45"/>
      <c r="Q19" s="45"/>
      <c r="R19" s="45"/>
    </row>
    <row r="20" spans="1:18" s="45" customFormat="1" x14ac:dyDescent="0.25">
      <c r="A20" s="118">
        <v>17</v>
      </c>
      <c r="B20" s="142" t="s">
        <v>262</v>
      </c>
      <c r="C20" s="120">
        <v>125.583</v>
      </c>
      <c r="D20" s="120">
        <v>73.917000000000002</v>
      </c>
      <c r="E20" s="121">
        <v>58.058</v>
      </c>
      <c r="F20" s="121">
        <v>73.376000000000005</v>
      </c>
      <c r="G20" s="121">
        <v>60.506999999999998</v>
      </c>
      <c r="H20" s="121">
        <v>51.162999999999997</v>
      </c>
      <c r="I20" s="121">
        <f t="shared" si="0"/>
        <v>71.149967291757505</v>
      </c>
      <c r="J20" s="121">
        <f t="shared" si="1"/>
        <v>22.162724973969961</v>
      </c>
      <c r="K20" s="20">
        <v>4205219217</v>
      </c>
      <c r="L20" s="81"/>
      <c r="O20" s="81"/>
    </row>
    <row r="21" spans="1:18" s="45" customFormat="1" x14ac:dyDescent="0.25">
      <c r="A21" s="118">
        <v>18</v>
      </c>
      <c r="B21" s="142" t="s">
        <v>8</v>
      </c>
      <c r="C21" s="120">
        <v>99.149000000000001</v>
      </c>
      <c r="D21" s="120">
        <v>29.013999999999999</v>
      </c>
      <c r="E21" s="121">
        <v>19.061</v>
      </c>
      <c r="F21" s="121">
        <v>62.118000000000002</v>
      </c>
      <c r="G21" s="121">
        <v>28.408999999999999</v>
      </c>
      <c r="H21" s="121">
        <v>23.292000000000002</v>
      </c>
      <c r="I21" s="121">
        <f t="shared" si="0"/>
        <v>59.613960526739419</v>
      </c>
      <c r="J21" s="121">
        <f t="shared" si="1"/>
        <v>2.1296068147418135</v>
      </c>
      <c r="K21" s="20">
        <v>4205271785</v>
      </c>
      <c r="L21" s="81"/>
      <c r="O21" s="81"/>
    </row>
    <row r="22" spans="1:18" s="45" customFormat="1" x14ac:dyDescent="0.25">
      <c r="A22" s="118">
        <v>19</v>
      </c>
      <c r="B22" s="142" t="s">
        <v>286</v>
      </c>
      <c r="C22" s="120">
        <v>82.043999999999997</v>
      </c>
      <c r="D22" s="120">
        <v>51.963000000000001</v>
      </c>
      <c r="E22" s="121">
        <v>38.387</v>
      </c>
      <c r="F22" s="121">
        <v>2.984</v>
      </c>
      <c r="G22" s="121">
        <v>2.984</v>
      </c>
      <c r="H22" s="121">
        <v>2.5329999999999999</v>
      </c>
      <c r="I22" s="121">
        <f t="shared" si="0"/>
        <v>2649.4638069705093</v>
      </c>
      <c r="J22" s="121">
        <f t="shared" si="1"/>
        <v>1641.387399463807</v>
      </c>
      <c r="K22" s="20">
        <v>7704493556</v>
      </c>
      <c r="L22" s="81"/>
      <c r="O22" s="81"/>
    </row>
    <row r="23" spans="1:18" x14ac:dyDescent="0.25">
      <c r="A23" s="118">
        <v>20</v>
      </c>
      <c r="B23" s="142" t="s">
        <v>220</v>
      </c>
      <c r="C23" s="120">
        <v>24.026</v>
      </c>
      <c r="D23" s="120">
        <v>14.085000000000001</v>
      </c>
      <c r="E23" s="120">
        <v>12.355</v>
      </c>
      <c r="F23" s="120">
        <v>37.642000000000003</v>
      </c>
      <c r="G23" s="120">
        <v>18.425999999999998</v>
      </c>
      <c r="H23" s="120">
        <v>14.038</v>
      </c>
      <c r="I23" s="121">
        <f t="shared" si="0"/>
        <v>-36.172360660963818</v>
      </c>
      <c r="J23" s="121">
        <f t="shared" si="1"/>
        <v>-23.559101269944627</v>
      </c>
      <c r="K23" s="20">
        <v>7705974076</v>
      </c>
      <c r="L23" s="81"/>
      <c r="O23" s="81"/>
      <c r="P23" s="45"/>
      <c r="Q23" s="45"/>
      <c r="R23" s="45"/>
    </row>
    <row r="24" spans="1:18" s="45" customFormat="1" x14ac:dyDescent="0.25">
      <c r="A24" s="118">
        <v>21</v>
      </c>
      <c r="B24" s="142" t="s">
        <v>283</v>
      </c>
      <c r="C24" s="120">
        <v>1.8540000000000001</v>
      </c>
      <c r="D24" s="120">
        <v>0.18</v>
      </c>
      <c r="E24" s="120">
        <v>0.18</v>
      </c>
      <c r="F24" s="120">
        <v>2.145</v>
      </c>
      <c r="G24" s="120">
        <v>0.52</v>
      </c>
      <c r="H24" s="120">
        <v>0.23699999999999999</v>
      </c>
      <c r="I24" s="121">
        <f t="shared" si="0"/>
        <v>-13.566433566433567</v>
      </c>
      <c r="J24" s="121">
        <f t="shared" si="1"/>
        <v>-65.384615384615387</v>
      </c>
      <c r="K24" s="20">
        <v>2465260220</v>
      </c>
      <c r="L24" s="81"/>
      <c r="O24" s="81"/>
    </row>
    <row r="25" spans="1:18" x14ac:dyDescent="0.25">
      <c r="A25" s="118">
        <v>22</v>
      </c>
      <c r="B25" s="142" t="s">
        <v>16</v>
      </c>
      <c r="C25" s="120">
        <v>0.187</v>
      </c>
      <c r="D25" s="120">
        <v>0.187</v>
      </c>
      <c r="E25" s="120">
        <v>0.187</v>
      </c>
      <c r="F25" s="120">
        <v>0</v>
      </c>
      <c r="G25" s="120">
        <v>0</v>
      </c>
      <c r="H25" s="120">
        <v>0</v>
      </c>
      <c r="I25" s="121" t="s">
        <v>245</v>
      </c>
      <c r="J25" s="121" t="s">
        <v>245</v>
      </c>
      <c r="K25" s="20">
        <v>4205312696</v>
      </c>
      <c r="L25" s="81"/>
      <c r="O25" s="81"/>
    </row>
    <row r="26" spans="1:18" s="45" customFormat="1" x14ac:dyDescent="0.25">
      <c r="A26" s="45" t="s">
        <v>320</v>
      </c>
      <c r="B26" s="158"/>
      <c r="C26" s="145"/>
      <c r="D26" s="145"/>
      <c r="E26" s="145"/>
      <c r="F26" s="145"/>
      <c r="G26" s="145"/>
      <c r="H26" s="145"/>
      <c r="I26" s="169"/>
      <c r="J26" s="169"/>
      <c r="K26" s="20"/>
      <c r="L26" s="81"/>
      <c r="O26" s="81"/>
    </row>
    <row r="27" spans="1:18" s="45" customFormat="1" x14ac:dyDescent="0.25">
      <c r="A27" s="143" t="s">
        <v>315</v>
      </c>
      <c r="B27" s="158"/>
      <c r="C27" s="145"/>
      <c r="D27" s="145"/>
      <c r="E27" s="145"/>
      <c r="F27" s="145"/>
      <c r="G27" s="145"/>
      <c r="H27" s="145"/>
      <c r="I27" s="169"/>
      <c r="J27" s="169"/>
      <c r="K27" s="20"/>
      <c r="L27" s="81"/>
      <c r="O27" s="81"/>
    </row>
    <row r="28" spans="1:18" s="45" customFormat="1" x14ac:dyDescent="0.25">
      <c r="A28" s="148" t="s">
        <v>319</v>
      </c>
      <c r="B28" s="50"/>
      <c r="C28" s="57"/>
      <c r="D28" s="57"/>
      <c r="E28" s="57"/>
      <c r="F28" s="57"/>
      <c r="G28" s="57"/>
      <c r="H28" s="57"/>
      <c r="I28" s="57"/>
      <c r="J28" s="57"/>
    </row>
    <row r="29" spans="1:18" s="45" customFormat="1" x14ac:dyDescent="0.25">
      <c r="B29" s="50"/>
      <c r="C29" s="57"/>
      <c r="D29" s="57"/>
      <c r="E29" s="57"/>
      <c r="F29" s="57"/>
      <c r="G29" s="57"/>
      <c r="H29" s="57"/>
      <c r="I29" s="57"/>
      <c r="J29" s="57"/>
    </row>
    <row r="30" spans="1:18" x14ac:dyDescent="0.25">
      <c r="A30" s="20"/>
    </row>
  </sheetData>
  <autoFilter ref="A3:R3" xr:uid="{1CDB8B0B-F626-447A-BC5B-7A53D8041124}">
    <sortState xmlns:xlrd2="http://schemas.microsoft.com/office/spreadsheetml/2017/richdata2" ref="A5:R27">
      <sortCondition descending="1" ref="C3"/>
    </sortState>
  </autoFilter>
  <sortState xmlns:xlrd2="http://schemas.microsoft.com/office/spreadsheetml/2017/richdata2" ref="A5:K24">
    <sortCondition descending="1" ref="C5:C24"/>
  </sortState>
  <mergeCells count="6">
    <mergeCell ref="J2:J3"/>
    <mergeCell ref="B2:B3"/>
    <mergeCell ref="A2:A3"/>
    <mergeCell ref="I2:I3"/>
    <mergeCell ref="C2:E2"/>
    <mergeCell ref="F2:H2"/>
  </mergeCells>
  <pageMargins left="0.7" right="0.7" top="0.75" bottom="0.75" header="0.3" footer="0.3"/>
  <pageSetup paperSize="9" orientation="portrait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96B46-FF43-4165-9C89-804162642C75}">
  <sheetPr codeName="Лист20"/>
  <dimension ref="A1:M657"/>
  <sheetViews>
    <sheetView workbookViewId="0">
      <selection activeCell="L24" activeCellId="2" sqref="B24:D24 I24:J24 L24:M24"/>
    </sheetView>
  </sheetViews>
  <sheetFormatPr defaultRowHeight="15" x14ac:dyDescent="0.25"/>
  <cols>
    <col min="2" max="2" width="24.85546875" style="36" customWidth="1"/>
    <col min="3" max="4" width="15.7109375" customWidth="1"/>
    <col min="5" max="8" width="15.7109375" style="45" customWidth="1"/>
    <col min="9" max="9" width="15.7109375" style="33" customWidth="1"/>
    <col min="10" max="10" width="15.7109375" customWidth="1"/>
    <col min="11" max="11" width="15.7109375" style="45" customWidth="1"/>
    <col min="12" max="12" width="15.7109375" style="3" customWidth="1"/>
    <col min="13" max="13" width="15.7109375" customWidth="1"/>
  </cols>
  <sheetData>
    <row r="1" spans="1:13" x14ac:dyDescent="0.25">
      <c r="A1" s="4"/>
      <c r="B1" s="94"/>
      <c r="C1" s="192">
        <v>43282</v>
      </c>
      <c r="D1" s="192"/>
      <c r="E1" s="192"/>
      <c r="F1" s="193">
        <v>43466</v>
      </c>
      <c r="G1" s="193"/>
      <c r="H1" s="193"/>
      <c r="I1" s="192">
        <v>43647</v>
      </c>
      <c r="J1" s="192"/>
      <c r="K1" s="192"/>
    </row>
    <row r="2" spans="1:13" ht="45" x14ac:dyDescent="0.25">
      <c r="C2" s="75" t="s">
        <v>23</v>
      </c>
      <c r="D2" s="75" t="s">
        <v>100</v>
      </c>
      <c r="E2" s="75" t="s">
        <v>151</v>
      </c>
      <c r="F2" s="75" t="s">
        <v>23</v>
      </c>
      <c r="G2" s="75" t="s">
        <v>100</v>
      </c>
      <c r="H2" s="75" t="s">
        <v>151</v>
      </c>
      <c r="I2" s="75" t="s">
        <v>23</v>
      </c>
      <c r="J2" s="75" t="s">
        <v>91</v>
      </c>
      <c r="K2" s="75" t="s">
        <v>151</v>
      </c>
      <c r="L2" s="75" t="s">
        <v>26</v>
      </c>
      <c r="M2" s="75" t="s">
        <v>6</v>
      </c>
    </row>
    <row r="3" spans="1:13" x14ac:dyDescent="0.25">
      <c r="A3">
        <v>1</v>
      </c>
      <c r="B3" s="37" t="s">
        <v>15</v>
      </c>
      <c r="C3" s="46" t="e">
        <f>HLOOKUP(B3,#REF!,42,FALSE)/1000</f>
        <v>#REF!</v>
      </c>
      <c r="D3" s="46" t="e">
        <f>HLOOKUP(B3,#REF!,46,FALSE)/1000</f>
        <v>#REF!</v>
      </c>
      <c r="E3" s="46"/>
      <c r="F3" s="46" t="e">
        <f>HLOOKUP(B3,#REF!,43,FALSE)/1000</f>
        <v>#REF!</v>
      </c>
      <c r="G3" s="46" t="e">
        <f>HLOOKUP(B3,#REF!,47,FALSE)/1000</f>
        <v>#REF!</v>
      </c>
      <c r="H3" s="46"/>
      <c r="I3" s="93" t="e">
        <f>HLOOKUP(B3,#REF!,44,FALSE)/1000</f>
        <v>#REF!</v>
      </c>
      <c r="J3" s="46" t="e">
        <f>HLOOKUP(B3,#REF!,48,FALSE)/1000</f>
        <v>#REF!</v>
      </c>
      <c r="K3" s="46"/>
      <c r="L3" s="3" t="e">
        <f t="shared" ref="L3:L23" si="0">(I3/C3-1)*100</f>
        <v>#REF!</v>
      </c>
      <c r="M3" s="3" t="e">
        <f t="shared" ref="M3:M23" si="1">(J3/D3-1)*100</f>
        <v>#REF!</v>
      </c>
    </row>
    <row r="4" spans="1:13" x14ac:dyDescent="0.25">
      <c r="A4" s="45">
        <v>2</v>
      </c>
      <c r="B4" s="37" t="s">
        <v>87</v>
      </c>
      <c r="C4" s="46" t="e">
        <f>HLOOKUP(B4,#REF!,42,FALSE)/1000</f>
        <v>#REF!</v>
      </c>
      <c r="D4" s="46" t="e">
        <f>HLOOKUP(B4,#REF!,46,FALSE)/1000</f>
        <v>#REF!</v>
      </c>
      <c r="E4" s="46"/>
      <c r="F4" s="46" t="e">
        <f>HLOOKUP(B4,#REF!,43,FALSE)/1000</f>
        <v>#REF!</v>
      </c>
      <c r="G4" s="46" t="e">
        <f>HLOOKUP(B4,#REF!,47,FALSE)/1000</f>
        <v>#REF!</v>
      </c>
      <c r="H4" s="46"/>
      <c r="I4" s="93" t="e">
        <f>HLOOKUP(B4,#REF!,44,FALSE)/1000</f>
        <v>#REF!</v>
      </c>
      <c r="J4" s="46" t="e">
        <f>HLOOKUP(B4,#REF!,48,FALSE)/1000</f>
        <v>#REF!</v>
      </c>
      <c r="K4" s="46"/>
      <c r="L4" s="3" t="e">
        <f t="shared" si="0"/>
        <v>#REF!</v>
      </c>
      <c r="M4" s="3" t="e">
        <f t="shared" si="1"/>
        <v>#REF!</v>
      </c>
    </row>
    <row r="5" spans="1:13" x14ac:dyDescent="0.25">
      <c r="A5" s="45">
        <v>3</v>
      </c>
      <c r="B5" s="37" t="s">
        <v>31</v>
      </c>
      <c r="C5" s="46" t="e">
        <f>HLOOKUP(B5,#REF!,42,FALSE)/1000</f>
        <v>#REF!</v>
      </c>
      <c r="D5" s="46" t="e">
        <f>HLOOKUP(B5,#REF!,46,FALSE)/1000</f>
        <v>#REF!</v>
      </c>
      <c r="E5" s="46"/>
      <c r="F5" s="46" t="e">
        <f>HLOOKUP(B5,#REF!,43,FALSE)/1000</f>
        <v>#REF!</v>
      </c>
      <c r="G5" s="46" t="e">
        <f>HLOOKUP(B5,#REF!,47,FALSE)/1000</f>
        <v>#REF!</v>
      </c>
      <c r="H5" s="46"/>
      <c r="I5" s="93" t="e">
        <f>HLOOKUP(B5,#REF!,44,FALSE)/1000</f>
        <v>#REF!</v>
      </c>
      <c r="J5" s="46" t="e">
        <f>HLOOKUP(B5,#REF!,48,FALSE)/1000</f>
        <v>#REF!</v>
      </c>
      <c r="K5" s="46"/>
      <c r="L5" s="3" t="e">
        <f t="shared" si="0"/>
        <v>#REF!</v>
      </c>
      <c r="M5" s="3" t="e">
        <f t="shared" si="1"/>
        <v>#REF!</v>
      </c>
    </row>
    <row r="6" spans="1:13" x14ac:dyDescent="0.25">
      <c r="A6" s="45">
        <v>4</v>
      </c>
      <c r="B6" s="37" t="s">
        <v>33</v>
      </c>
      <c r="C6" s="46" t="e">
        <f>HLOOKUP(B6,#REF!,42,FALSE)/1000</f>
        <v>#REF!</v>
      </c>
      <c r="D6" s="46" t="e">
        <f>HLOOKUP(B6,#REF!,46,FALSE)/1000</f>
        <v>#REF!</v>
      </c>
      <c r="E6" s="46"/>
      <c r="F6" s="46" t="e">
        <f>HLOOKUP(B6,#REF!,43,FALSE)/1000</f>
        <v>#REF!</v>
      </c>
      <c r="G6" s="46" t="e">
        <f>HLOOKUP(B6,#REF!,47,FALSE)/1000</f>
        <v>#REF!</v>
      </c>
      <c r="H6" s="46"/>
      <c r="I6" s="93" t="e">
        <f>HLOOKUP(B6,#REF!,44,FALSE)/1000</f>
        <v>#REF!</v>
      </c>
      <c r="J6" s="46" t="e">
        <f>HLOOKUP(B6,#REF!,48,FALSE)/1000</f>
        <v>#REF!</v>
      </c>
      <c r="K6" s="46"/>
      <c r="L6" s="3" t="e">
        <f t="shared" si="0"/>
        <v>#REF!</v>
      </c>
      <c r="M6" s="3" t="e">
        <f t="shared" si="1"/>
        <v>#REF!</v>
      </c>
    </row>
    <row r="7" spans="1:13" x14ac:dyDescent="0.25">
      <c r="A7" s="45">
        <v>5</v>
      </c>
      <c r="B7" s="37" t="s">
        <v>45</v>
      </c>
      <c r="C7" s="46" t="e">
        <f>HLOOKUP(B7,#REF!,42,FALSE)/1000</f>
        <v>#REF!</v>
      </c>
      <c r="D7" s="46" t="e">
        <f>HLOOKUP(B7,#REF!,46,FALSE)/1000</f>
        <v>#REF!</v>
      </c>
      <c r="E7" s="46"/>
      <c r="F7" s="46" t="e">
        <f>HLOOKUP(B7,#REF!,43,FALSE)/1000</f>
        <v>#REF!</v>
      </c>
      <c r="G7" s="46" t="e">
        <f>HLOOKUP(B7,#REF!,47,FALSE)/1000</f>
        <v>#REF!</v>
      </c>
      <c r="H7" s="46"/>
      <c r="I7" s="93" t="e">
        <f>HLOOKUP(B7,#REF!,44,FALSE)/1000</f>
        <v>#REF!</v>
      </c>
      <c r="J7" s="46" t="e">
        <f>HLOOKUP(B7,#REF!,48,FALSE)/1000</f>
        <v>#REF!</v>
      </c>
      <c r="K7" s="46"/>
      <c r="L7" s="3" t="e">
        <f t="shared" si="0"/>
        <v>#REF!</v>
      </c>
      <c r="M7" s="3" t="e">
        <f t="shared" si="1"/>
        <v>#REF!</v>
      </c>
    </row>
    <row r="8" spans="1:13" x14ac:dyDescent="0.25">
      <c r="A8" s="45">
        <v>6</v>
      </c>
      <c r="B8" s="37" t="s">
        <v>41</v>
      </c>
      <c r="C8" s="46" t="e">
        <f>HLOOKUP(B8,#REF!,42,FALSE)/1000</f>
        <v>#REF!</v>
      </c>
      <c r="D8" s="46" t="e">
        <f>HLOOKUP(B8,#REF!,46,FALSE)/1000</f>
        <v>#REF!</v>
      </c>
      <c r="E8" s="46"/>
      <c r="F8" s="46" t="e">
        <f>HLOOKUP(B8,#REF!,43,FALSE)/1000</f>
        <v>#REF!</v>
      </c>
      <c r="G8" s="46" t="e">
        <f>HLOOKUP(B8,#REF!,47,FALSE)/1000</f>
        <v>#REF!</v>
      </c>
      <c r="H8" s="46"/>
      <c r="I8" s="93" t="e">
        <f>HLOOKUP(B8,#REF!,44,FALSE)/1000</f>
        <v>#REF!</v>
      </c>
      <c r="J8" s="46" t="e">
        <f>HLOOKUP(B8,#REF!,48,FALSE)/1000</f>
        <v>#REF!</v>
      </c>
      <c r="K8" s="46"/>
      <c r="L8" s="3" t="e">
        <f t="shared" si="0"/>
        <v>#REF!</v>
      </c>
      <c r="M8" s="3" t="e">
        <f t="shared" si="1"/>
        <v>#REF!</v>
      </c>
    </row>
    <row r="9" spans="1:13" x14ac:dyDescent="0.25">
      <c r="A9" s="45">
        <v>7</v>
      </c>
      <c r="B9" s="37" t="s">
        <v>25</v>
      </c>
      <c r="C9" s="46" t="e">
        <f>HLOOKUP(B9,#REF!,42,FALSE)/1000</f>
        <v>#REF!</v>
      </c>
      <c r="D9" s="46" t="e">
        <f>HLOOKUP(B9,#REF!,46,FALSE)/1000</f>
        <v>#REF!</v>
      </c>
      <c r="E9" s="46"/>
      <c r="F9" s="46" t="e">
        <f>HLOOKUP(B9,#REF!,43,FALSE)/1000</f>
        <v>#REF!</v>
      </c>
      <c r="G9" s="46" t="e">
        <f>HLOOKUP(B9,#REF!,47,FALSE)/1000</f>
        <v>#REF!</v>
      </c>
      <c r="H9" s="46"/>
      <c r="I9" s="93" t="e">
        <f>HLOOKUP(B9,#REF!,44,FALSE)/1000</f>
        <v>#REF!</v>
      </c>
      <c r="J9" s="46" t="e">
        <f>HLOOKUP(B9,#REF!,48,FALSE)/1000</f>
        <v>#REF!</v>
      </c>
      <c r="K9" s="46"/>
      <c r="L9" s="3" t="e">
        <f t="shared" si="0"/>
        <v>#REF!</v>
      </c>
      <c r="M9" s="3" t="e">
        <f t="shared" si="1"/>
        <v>#REF!</v>
      </c>
    </row>
    <row r="10" spans="1:13" x14ac:dyDescent="0.25">
      <c r="A10" s="45">
        <v>8</v>
      </c>
      <c r="B10" s="37" t="s">
        <v>46</v>
      </c>
      <c r="C10" s="46" t="e">
        <f>HLOOKUP(B10,#REF!,42,FALSE)/1000</f>
        <v>#REF!</v>
      </c>
      <c r="D10" s="46" t="e">
        <f>HLOOKUP(B10,#REF!,46,FALSE)/1000</f>
        <v>#REF!</v>
      </c>
      <c r="E10" s="46"/>
      <c r="F10" s="46" t="e">
        <f>HLOOKUP(B10,#REF!,43,FALSE)/1000</f>
        <v>#REF!</v>
      </c>
      <c r="G10" s="46" t="e">
        <f>HLOOKUP(B10,#REF!,47,FALSE)/1000</f>
        <v>#REF!</v>
      </c>
      <c r="H10" s="46"/>
      <c r="I10" s="93" t="e">
        <f>HLOOKUP(B10,#REF!,44,FALSE)/1000</f>
        <v>#REF!</v>
      </c>
      <c r="J10" s="46" t="e">
        <f>HLOOKUP(B10,#REF!,48,FALSE)/1000</f>
        <v>#REF!</v>
      </c>
      <c r="K10" s="46"/>
      <c r="L10" s="3" t="e">
        <f t="shared" si="0"/>
        <v>#REF!</v>
      </c>
      <c r="M10" s="3" t="e">
        <f t="shared" si="1"/>
        <v>#REF!</v>
      </c>
    </row>
    <row r="11" spans="1:13" x14ac:dyDescent="0.25">
      <c r="A11" s="45">
        <v>9</v>
      </c>
      <c r="B11" s="37" t="s">
        <v>44</v>
      </c>
      <c r="C11" s="46" t="e">
        <f>HLOOKUP(B11,#REF!,42,FALSE)/1000</f>
        <v>#REF!</v>
      </c>
      <c r="D11" s="46" t="e">
        <f>HLOOKUP(B11,#REF!,46,FALSE)/1000</f>
        <v>#REF!</v>
      </c>
      <c r="E11" s="46"/>
      <c r="F11" s="46" t="e">
        <f>HLOOKUP(B11,#REF!,43,FALSE)/1000</f>
        <v>#REF!</v>
      </c>
      <c r="G11" s="46" t="e">
        <f>HLOOKUP(B11,#REF!,47,FALSE)/1000</f>
        <v>#REF!</v>
      </c>
      <c r="H11" s="46"/>
      <c r="I11" s="93" t="e">
        <f>HLOOKUP(B11,#REF!,44,FALSE)/1000</f>
        <v>#REF!</v>
      </c>
      <c r="J11" s="46" t="e">
        <f>HLOOKUP(B11,#REF!,48,FALSE)/1000</f>
        <v>#REF!</v>
      </c>
      <c r="K11" s="46"/>
      <c r="L11" s="3" t="e">
        <f t="shared" si="0"/>
        <v>#REF!</v>
      </c>
      <c r="M11" s="3" t="e">
        <f t="shared" si="1"/>
        <v>#REF!</v>
      </c>
    </row>
    <row r="12" spans="1:13" x14ac:dyDescent="0.25">
      <c r="A12" s="45">
        <v>10</v>
      </c>
      <c r="B12" s="37" t="s">
        <v>32</v>
      </c>
      <c r="C12" s="46" t="e">
        <f>HLOOKUP(B12,#REF!,42,FALSE)/1000</f>
        <v>#REF!</v>
      </c>
      <c r="D12" s="46" t="e">
        <f>HLOOKUP(B12,#REF!,46,FALSE)/1000</f>
        <v>#REF!</v>
      </c>
      <c r="E12" s="46"/>
      <c r="F12" s="46" t="e">
        <f>HLOOKUP(B12,#REF!,43,FALSE)/1000</f>
        <v>#REF!</v>
      </c>
      <c r="G12" s="46" t="e">
        <f>HLOOKUP(B12,#REF!,47,FALSE)/1000</f>
        <v>#REF!</v>
      </c>
      <c r="H12" s="46"/>
      <c r="I12" s="93" t="e">
        <f>HLOOKUP(B12,#REF!,44,FALSE)/1000</f>
        <v>#REF!</v>
      </c>
      <c r="J12" s="46" t="e">
        <f>HLOOKUP(B12,#REF!,48,FALSE)/1000</f>
        <v>#REF!</v>
      </c>
      <c r="K12" s="46"/>
      <c r="L12" s="3" t="e">
        <f t="shared" si="0"/>
        <v>#REF!</v>
      </c>
      <c r="M12" s="3" t="e">
        <f t="shared" si="1"/>
        <v>#REF!</v>
      </c>
    </row>
    <row r="13" spans="1:13" x14ac:dyDescent="0.25">
      <c r="A13" s="45">
        <v>11</v>
      </c>
      <c r="B13" s="37" t="s">
        <v>24</v>
      </c>
      <c r="C13" s="46" t="e">
        <f>HLOOKUP(B13,#REF!,42,FALSE)/1000</f>
        <v>#REF!</v>
      </c>
      <c r="D13" s="46" t="e">
        <f>HLOOKUP(B13,#REF!,46,FALSE)/1000</f>
        <v>#REF!</v>
      </c>
      <c r="E13" s="46"/>
      <c r="F13" s="46" t="e">
        <f>HLOOKUP(B13,#REF!,43,FALSE)/1000</f>
        <v>#REF!</v>
      </c>
      <c r="G13" s="46" t="e">
        <f>HLOOKUP(B13,#REF!,47,FALSE)/1000</f>
        <v>#REF!</v>
      </c>
      <c r="H13" s="46"/>
      <c r="I13" s="93" t="e">
        <f>HLOOKUP(B13,#REF!,44,FALSE)/1000</f>
        <v>#REF!</v>
      </c>
      <c r="J13" s="46" t="e">
        <f>HLOOKUP(B13,#REF!,48,FALSE)/1000</f>
        <v>#REF!</v>
      </c>
      <c r="K13" s="46"/>
      <c r="L13" s="3" t="e">
        <f t="shared" si="0"/>
        <v>#REF!</v>
      </c>
      <c r="M13" s="3" t="e">
        <f t="shared" si="1"/>
        <v>#REF!</v>
      </c>
    </row>
    <row r="14" spans="1:13" x14ac:dyDescent="0.25">
      <c r="A14" s="45">
        <v>12</v>
      </c>
      <c r="B14" s="37" t="s">
        <v>39</v>
      </c>
      <c r="C14" s="46" t="e">
        <f>HLOOKUP(B14,#REF!,42,FALSE)/1000</f>
        <v>#REF!</v>
      </c>
      <c r="D14" s="46" t="e">
        <f>HLOOKUP(B14,#REF!,46,FALSE)/1000</f>
        <v>#REF!</v>
      </c>
      <c r="E14" s="46"/>
      <c r="F14" s="46" t="e">
        <f>HLOOKUP(B14,#REF!,43,FALSE)/1000</f>
        <v>#REF!</v>
      </c>
      <c r="G14" s="46" t="e">
        <f>HLOOKUP(B14,#REF!,47,FALSE)/1000</f>
        <v>#REF!</v>
      </c>
      <c r="H14" s="46"/>
      <c r="I14" s="93" t="e">
        <f>HLOOKUP(B14,#REF!,44,FALSE)/1000</f>
        <v>#REF!</v>
      </c>
      <c r="J14" s="46" t="e">
        <f>HLOOKUP(B14,#REF!,48,FALSE)/1000</f>
        <v>#REF!</v>
      </c>
      <c r="K14" s="46"/>
      <c r="L14" s="3" t="e">
        <f t="shared" si="0"/>
        <v>#REF!</v>
      </c>
      <c r="M14" s="3" t="e">
        <f t="shared" si="1"/>
        <v>#REF!</v>
      </c>
    </row>
    <row r="15" spans="1:13" x14ac:dyDescent="0.25">
      <c r="A15" s="45">
        <v>13</v>
      </c>
      <c r="B15" s="36" t="s">
        <v>14</v>
      </c>
      <c r="C15" s="46" t="e">
        <f>HLOOKUP(B15,#REF!,42,FALSE)/1000</f>
        <v>#REF!</v>
      </c>
      <c r="D15" s="46" t="e">
        <f>HLOOKUP(B15,#REF!,46,FALSE)/1000</f>
        <v>#REF!</v>
      </c>
      <c r="E15" s="46"/>
      <c r="F15" s="46" t="e">
        <f>HLOOKUP(B15,#REF!,43,FALSE)/1000</f>
        <v>#REF!</v>
      </c>
      <c r="G15" s="46" t="e">
        <f>HLOOKUP(B15,#REF!,47,FALSE)/1000</f>
        <v>#REF!</v>
      </c>
      <c r="H15" s="46"/>
      <c r="I15" s="93" t="e">
        <f>HLOOKUP(B15,#REF!,44,FALSE)/1000</f>
        <v>#REF!</v>
      </c>
      <c r="J15" s="46" t="e">
        <f>HLOOKUP(B15,#REF!,48,FALSE)/1000</f>
        <v>#REF!</v>
      </c>
      <c r="K15" s="46"/>
      <c r="L15" s="3" t="e">
        <f t="shared" si="0"/>
        <v>#REF!</v>
      </c>
      <c r="M15" s="3" t="e">
        <f t="shared" si="1"/>
        <v>#REF!</v>
      </c>
    </row>
    <row r="16" spans="1:13" x14ac:dyDescent="0.25">
      <c r="A16" s="45">
        <v>14</v>
      </c>
      <c r="B16" s="37" t="s">
        <v>22</v>
      </c>
      <c r="C16" s="46" t="e">
        <f>HLOOKUP(B16,#REF!,42,FALSE)/1000</f>
        <v>#REF!</v>
      </c>
      <c r="D16" s="46" t="e">
        <f>HLOOKUP(B16,#REF!,46,FALSE)/1000</f>
        <v>#REF!</v>
      </c>
      <c r="E16" s="46"/>
      <c r="F16" s="46" t="e">
        <f>HLOOKUP(B16,#REF!,43,FALSE)/1000</f>
        <v>#REF!</v>
      </c>
      <c r="G16" s="46" t="e">
        <f>HLOOKUP(B16,#REF!,47,FALSE)/1000</f>
        <v>#REF!</v>
      </c>
      <c r="H16" s="46"/>
      <c r="I16" s="93" t="e">
        <f>HLOOKUP(B16,#REF!,44,FALSE)/1000</f>
        <v>#REF!</v>
      </c>
      <c r="J16" s="46" t="e">
        <f>HLOOKUP(B16,#REF!,48,FALSE)/1000</f>
        <v>#REF!</v>
      </c>
      <c r="K16" s="46"/>
      <c r="L16" s="3" t="e">
        <f t="shared" si="0"/>
        <v>#REF!</v>
      </c>
      <c r="M16" s="3" t="e">
        <f t="shared" si="1"/>
        <v>#REF!</v>
      </c>
    </row>
    <row r="17" spans="1:13" x14ac:dyDescent="0.25">
      <c r="A17" s="45">
        <v>15</v>
      </c>
      <c r="B17" s="37" t="s">
        <v>35</v>
      </c>
      <c r="C17" s="46" t="e">
        <f>HLOOKUP(B17,#REF!,42,FALSE)/1000</f>
        <v>#REF!</v>
      </c>
      <c r="D17" s="46" t="e">
        <f>HLOOKUP(B17,#REF!,46,FALSE)/1000</f>
        <v>#REF!</v>
      </c>
      <c r="E17" s="46"/>
      <c r="F17" s="46" t="e">
        <f>HLOOKUP(B17,#REF!,43,FALSE)/1000</f>
        <v>#REF!</v>
      </c>
      <c r="G17" s="46" t="e">
        <f>HLOOKUP(B17,#REF!,47,FALSE)/1000</f>
        <v>#REF!</v>
      </c>
      <c r="H17" s="46"/>
      <c r="I17" s="93" t="e">
        <f>HLOOKUP(B17,#REF!,44,FALSE)/1000</f>
        <v>#REF!</v>
      </c>
      <c r="J17" s="46" t="e">
        <f>HLOOKUP(B17,#REF!,48,FALSE)/1000</f>
        <v>#REF!</v>
      </c>
      <c r="K17" s="46"/>
      <c r="L17" s="3" t="e">
        <f t="shared" si="0"/>
        <v>#REF!</v>
      </c>
      <c r="M17" s="3" t="e">
        <f t="shared" si="1"/>
        <v>#REF!</v>
      </c>
    </row>
    <row r="18" spans="1:13" x14ac:dyDescent="0.25">
      <c r="A18" s="45">
        <v>16</v>
      </c>
      <c r="B18" s="37" t="s">
        <v>47</v>
      </c>
      <c r="C18" s="46" t="e">
        <f>HLOOKUP(B18,#REF!,42,FALSE)/1000</f>
        <v>#REF!</v>
      </c>
      <c r="D18" s="46" t="e">
        <f>HLOOKUP(B18,#REF!,46,FALSE)/1000</f>
        <v>#REF!</v>
      </c>
      <c r="E18" s="46"/>
      <c r="F18" s="46" t="e">
        <f>HLOOKUP(B18,#REF!,43,FALSE)/1000</f>
        <v>#REF!</v>
      </c>
      <c r="G18" s="46" t="e">
        <f>HLOOKUP(B18,#REF!,47,FALSE)/1000</f>
        <v>#REF!</v>
      </c>
      <c r="H18" s="46"/>
      <c r="I18" s="93" t="e">
        <f>HLOOKUP(B18,#REF!,44,FALSE)/1000</f>
        <v>#REF!</v>
      </c>
      <c r="J18" s="46" t="e">
        <f>HLOOKUP(B18,#REF!,48,FALSE)/1000</f>
        <v>#REF!</v>
      </c>
      <c r="K18" s="46"/>
      <c r="L18" s="3" t="e">
        <f t="shared" si="0"/>
        <v>#REF!</v>
      </c>
      <c r="M18" s="3" t="e">
        <f t="shared" si="1"/>
        <v>#REF!</v>
      </c>
    </row>
    <row r="19" spans="1:13" x14ac:dyDescent="0.25">
      <c r="A19" s="45">
        <v>17</v>
      </c>
      <c r="B19" s="37" t="s">
        <v>13</v>
      </c>
      <c r="C19" s="46" t="e">
        <f>HLOOKUP(B19,#REF!,42,FALSE)/1000</f>
        <v>#REF!</v>
      </c>
      <c r="D19" s="46" t="e">
        <f>HLOOKUP(B19,#REF!,46,FALSE)/1000</f>
        <v>#REF!</v>
      </c>
      <c r="E19" s="46"/>
      <c r="F19" s="46" t="e">
        <f>HLOOKUP(B19,#REF!,43,FALSE)/1000</f>
        <v>#REF!</v>
      </c>
      <c r="G19" s="46" t="e">
        <f>HLOOKUP(B19,#REF!,47,FALSE)/1000</f>
        <v>#REF!</v>
      </c>
      <c r="H19" s="46"/>
      <c r="I19" s="93" t="e">
        <f>HLOOKUP(B19,#REF!,44,FALSE)/1000</f>
        <v>#REF!</v>
      </c>
      <c r="J19" s="46" t="e">
        <f>HLOOKUP(B19,#REF!,48,FALSE)/1000</f>
        <v>#REF!</v>
      </c>
      <c r="K19" s="46"/>
      <c r="L19" s="3" t="e">
        <f t="shared" si="0"/>
        <v>#REF!</v>
      </c>
      <c r="M19" s="3" t="e">
        <f t="shared" si="1"/>
        <v>#REF!</v>
      </c>
    </row>
    <row r="20" spans="1:13" x14ac:dyDescent="0.25">
      <c r="A20" s="45">
        <v>18</v>
      </c>
      <c r="B20" s="37" t="s">
        <v>8</v>
      </c>
      <c r="C20" s="46" t="e">
        <f>HLOOKUP(B20,#REF!,42,FALSE)/1000</f>
        <v>#REF!</v>
      </c>
      <c r="D20" s="46" t="e">
        <f>HLOOKUP(B20,#REF!,46,FALSE)/1000</f>
        <v>#REF!</v>
      </c>
      <c r="E20" s="46"/>
      <c r="F20" s="46" t="e">
        <f>HLOOKUP(B20,#REF!,43,FALSE)/1000</f>
        <v>#REF!</v>
      </c>
      <c r="G20" s="46" t="e">
        <f>HLOOKUP(B20,#REF!,47,FALSE)/1000</f>
        <v>#REF!</v>
      </c>
      <c r="H20" s="46"/>
      <c r="I20" s="93" t="e">
        <f>HLOOKUP(B20,#REF!,44,FALSE)/1000</f>
        <v>#REF!</v>
      </c>
      <c r="J20" s="46" t="e">
        <f>HLOOKUP(B20,#REF!,48,FALSE)/1000</f>
        <v>#REF!</v>
      </c>
      <c r="K20" s="46"/>
      <c r="L20" s="3" t="e">
        <f t="shared" si="0"/>
        <v>#REF!</v>
      </c>
      <c r="M20" s="3" t="e">
        <f t="shared" si="1"/>
        <v>#REF!</v>
      </c>
    </row>
    <row r="21" spans="1:13" x14ac:dyDescent="0.25">
      <c r="A21" s="45">
        <v>19</v>
      </c>
      <c r="B21" s="37" t="s">
        <v>37</v>
      </c>
      <c r="C21" s="46" t="e">
        <f>HLOOKUP(B21,#REF!,42,FALSE)/1000</f>
        <v>#REF!</v>
      </c>
      <c r="D21" s="46" t="e">
        <f>HLOOKUP(B21,#REF!,46,FALSE)/1000</f>
        <v>#REF!</v>
      </c>
      <c r="E21" s="46"/>
      <c r="F21" s="46" t="e">
        <f>HLOOKUP(B21,#REF!,43,FALSE)/1000</f>
        <v>#REF!</v>
      </c>
      <c r="G21" s="46" t="e">
        <f>HLOOKUP(B21,#REF!,47,FALSE)/1000</f>
        <v>#REF!</v>
      </c>
      <c r="H21" s="46"/>
      <c r="I21" s="93" t="e">
        <f>HLOOKUP(B21,#REF!,44,FALSE)/1000</f>
        <v>#REF!</v>
      </c>
      <c r="J21" s="46" t="e">
        <f>HLOOKUP(B21,#REF!,48,FALSE)/1000</f>
        <v>#REF!</v>
      </c>
      <c r="K21" s="46"/>
      <c r="L21" s="3" t="e">
        <f t="shared" si="0"/>
        <v>#REF!</v>
      </c>
      <c r="M21" s="3" t="e">
        <f t="shared" si="1"/>
        <v>#REF!</v>
      </c>
    </row>
    <row r="22" spans="1:13" x14ac:dyDescent="0.25">
      <c r="A22" s="45">
        <v>20</v>
      </c>
      <c r="B22" s="37" t="s">
        <v>11</v>
      </c>
      <c r="C22" s="46" t="e">
        <f>HLOOKUP(B22,#REF!,42,FALSE)/1000</f>
        <v>#REF!</v>
      </c>
      <c r="D22" s="46" t="e">
        <f>HLOOKUP(B22,#REF!,46,FALSE)/1000</f>
        <v>#REF!</v>
      </c>
      <c r="E22" s="46"/>
      <c r="F22" s="46" t="e">
        <f>HLOOKUP(B22,#REF!,43,FALSE)/1000</f>
        <v>#REF!</v>
      </c>
      <c r="G22" s="46" t="e">
        <f>HLOOKUP(B22,#REF!,47,FALSE)/1000</f>
        <v>#REF!</v>
      </c>
      <c r="H22" s="46"/>
      <c r="I22" s="93" t="e">
        <f>HLOOKUP(B22,#REF!,44,FALSE)/1000</f>
        <v>#REF!</v>
      </c>
      <c r="J22" s="46" t="e">
        <f>HLOOKUP(B22,#REF!,48,FALSE)/1000</f>
        <v>#REF!</v>
      </c>
      <c r="K22" s="46"/>
      <c r="L22" s="3" t="e">
        <f t="shared" si="0"/>
        <v>#REF!</v>
      </c>
      <c r="M22" s="3" t="e">
        <f t="shared" si="1"/>
        <v>#REF!</v>
      </c>
    </row>
    <row r="23" spans="1:13" x14ac:dyDescent="0.25">
      <c r="A23" s="45">
        <v>21</v>
      </c>
      <c r="B23" s="37" t="s">
        <v>17</v>
      </c>
      <c r="C23" s="46" t="e">
        <f>HLOOKUP(B23,#REF!,42,FALSE)/1000</f>
        <v>#REF!</v>
      </c>
      <c r="D23" s="46" t="e">
        <f>HLOOKUP(B23,#REF!,46,FALSE)/1000</f>
        <v>#REF!</v>
      </c>
      <c r="E23" s="46"/>
      <c r="F23" s="46" t="e">
        <f>HLOOKUP(B23,#REF!,43,FALSE)/1000</f>
        <v>#REF!</v>
      </c>
      <c r="G23" s="46" t="e">
        <f>HLOOKUP(B23,#REF!,47,FALSE)/1000</f>
        <v>#REF!</v>
      </c>
      <c r="H23" s="46"/>
      <c r="I23" s="93" t="e">
        <f>HLOOKUP(B23,#REF!,44,FALSE)/1000</f>
        <v>#REF!</v>
      </c>
      <c r="J23" s="46" t="e">
        <f>HLOOKUP(B23,#REF!,48,FALSE)/1000</f>
        <v>#REF!</v>
      </c>
      <c r="K23" s="46"/>
      <c r="L23" s="3" t="e">
        <f t="shared" si="0"/>
        <v>#REF!</v>
      </c>
      <c r="M23" s="3" t="e">
        <f t="shared" si="1"/>
        <v>#REF!</v>
      </c>
    </row>
    <row r="24" spans="1:13" s="45" customFormat="1" x14ac:dyDescent="0.25">
      <c r="B24" s="37" t="s">
        <v>228</v>
      </c>
      <c r="C24" s="46" t="e">
        <f>HLOOKUP(B24,#REF!,42,FALSE)/1000</f>
        <v>#REF!</v>
      </c>
      <c r="D24" s="46" t="e">
        <f>HLOOKUP(B24,#REF!,46,FALSE)/1000</f>
        <v>#REF!</v>
      </c>
      <c r="E24" s="46"/>
      <c r="F24" s="46" t="e">
        <f>HLOOKUP(B24,#REF!,43,FALSE)/1000</f>
        <v>#REF!</v>
      </c>
      <c r="G24" s="46" t="e">
        <f>HLOOKUP(B24,#REF!,47,FALSE)/1000</f>
        <v>#REF!</v>
      </c>
      <c r="H24" s="46"/>
      <c r="I24" s="93" t="e">
        <f>HLOOKUP(B24,#REF!,44,FALSE)/1000</f>
        <v>#REF!</v>
      </c>
      <c r="J24" s="46" t="e">
        <f>HLOOKUP(B24,#REF!,48,FALSE)/1000</f>
        <v>#REF!</v>
      </c>
      <c r="K24" s="46"/>
      <c r="L24" s="3" t="e">
        <f t="shared" ref="L24" si="2">(I24/C24-1)*100</f>
        <v>#REF!</v>
      </c>
      <c r="M24" s="3" t="e">
        <f t="shared" ref="M24" si="3">(J24/D24-1)*100</f>
        <v>#REF!</v>
      </c>
    </row>
    <row r="25" spans="1:13" x14ac:dyDescent="0.25">
      <c r="C25" s="46" t="e">
        <f>SUM(C3:C24)</f>
        <v>#REF!</v>
      </c>
      <c r="D25" s="46" t="e">
        <f>SUM(D3:D24)</f>
        <v>#REF!</v>
      </c>
      <c r="E25" s="92" t="e">
        <f>(C25-D25)/C25</f>
        <v>#REF!</v>
      </c>
      <c r="F25" s="46" t="e">
        <f>SUM(F3:F24)</f>
        <v>#REF!</v>
      </c>
      <c r="G25" s="46" t="e">
        <f>SUM(G3:G24)</f>
        <v>#REF!</v>
      </c>
      <c r="H25" s="92" t="e">
        <f>(F25-G25)/F25</f>
        <v>#REF!</v>
      </c>
      <c r="I25" s="46" t="e">
        <f>SUM(I3:I24)</f>
        <v>#REF!</v>
      </c>
      <c r="J25" s="46" t="e">
        <f>SUM(J3:J24)</f>
        <v>#REF!</v>
      </c>
      <c r="K25" s="92" t="e">
        <f>(I25-J25)/I25</f>
        <v>#REF!</v>
      </c>
    </row>
    <row r="26" spans="1:13" x14ac:dyDescent="0.25">
      <c r="I26" s="4"/>
    </row>
    <row r="27" spans="1:13" x14ac:dyDescent="0.25">
      <c r="B27" s="36" t="s">
        <v>166</v>
      </c>
      <c r="F27" s="21" t="e">
        <f>F25/C25-1</f>
        <v>#REF!</v>
      </c>
      <c r="G27" s="21" t="e">
        <f>G25/D25-1</f>
        <v>#REF!</v>
      </c>
      <c r="H27" s="21"/>
      <c r="I27" s="21" t="e">
        <f>I25/F25-1</f>
        <v>#REF!</v>
      </c>
      <c r="J27" s="21" t="e">
        <f>J25/G25-1</f>
        <v>#REF!</v>
      </c>
    </row>
    <row r="28" spans="1:13" x14ac:dyDescent="0.25">
      <c r="I28" s="4"/>
    </row>
    <row r="29" spans="1:13" x14ac:dyDescent="0.25">
      <c r="I29" s="4"/>
    </row>
    <row r="30" spans="1:13" x14ac:dyDescent="0.25">
      <c r="I30" s="4"/>
    </row>
    <row r="31" spans="1:13" x14ac:dyDescent="0.25">
      <c r="I31" s="4"/>
    </row>
    <row r="32" spans="1:13" x14ac:dyDescent="0.25">
      <c r="I32" s="4"/>
    </row>
    <row r="33" spans="9:9" x14ac:dyDescent="0.25">
      <c r="I33" s="4"/>
    </row>
    <row r="34" spans="9:9" x14ac:dyDescent="0.25">
      <c r="I34" s="4"/>
    </row>
    <row r="35" spans="9:9" x14ac:dyDescent="0.25">
      <c r="I35" s="4"/>
    </row>
    <row r="36" spans="9:9" x14ac:dyDescent="0.25">
      <c r="I36" s="4"/>
    </row>
    <row r="37" spans="9:9" x14ac:dyDescent="0.25">
      <c r="I37" s="4"/>
    </row>
    <row r="38" spans="9:9" x14ac:dyDescent="0.25">
      <c r="I38" s="4"/>
    </row>
    <row r="39" spans="9:9" x14ac:dyDescent="0.25">
      <c r="I39" s="4"/>
    </row>
    <row r="40" spans="9:9" x14ac:dyDescent="0.25">
      <c r="I40" s="4"/>
    </row>
    <row r="41" spans="9:9" x14ac:dyDescent="0.25">
      <c r="I41" s="4"/>
    </row>
    <row r="42" spans="9:9" x14ac:dyDescent="0.25">
      <c r="I42" s="4"/>
    </row>
    <row r="43" spans="9:9" x14ac:dyDescent="0.25">
      <c r="I43" s="4"/>
    </row>
    <row r="44" spans="9:9" x14ac:dyDescent="0.25">
      <c r="I44" s="4"/>
    </row>
    <row r="45" spans="9:9" x14ac:dyDescent="0.25">
      <c r="I45" s="4"/>
    </row>
    <row r="46" spans="9:9" x14ac:dyDescent="0.25">
      <c r="I46" s="4"/>
    </row>
    <row r="47" spans="9:9" x14ac:dyDescent="0.25">
      <c r="I47" s="4"/>
    </row>
    <row r="48" spans="9:9" x14ac:dyDescent="0.25">
      <c r="I48" s="4"/>
    </row>
    <row r="49" spans="9:9" x14ac:dyDescent="0.25">
      <c r="I49" s="4"/>
    </row>
    <row r="50" spans="9:9" x14ac:dyDescent="0.25">
      <c r="I50" s="4"/>
    </row>
    <row r="51" spans="9:9" x14ac:dyDescent="0.25">
      <c r="I51" s="4"/>
    </row>
    <row r="52" spans="9:9" x14ac:dyDescent="0.25">
      <c r="I52" s="4"/>
    </row>
    <row r="53" spans="9:9" x14ac:dyDescent="0.25">
      <c r="I53" s="4"/>
    </row>
    <row r="54" spans="9:9" x14ac:dyDescent="0.25">
      <c r="I54" s="4"/>
    </row>
    <row r="55" spans="9:9" x14ac:dyDescent="0.25">
      <c r="I55" s="4"/>
    </row>
    <row r="56" spans="9:9" x14ac:dyDescent="0.25">
      <c r="I56" s="4"/>
    </row>
    <row r="57" spans="9:9" x14ac:dyDescent="0.25">
      <c r="I57" s="4"/>
    </row>
    <row r="58" spans="9:9" x14ac:dyDescent="0.25">
      <c r="I58" s="4"/>
    </row>
    <row r="59" spans="9:9" x14ac:dyDescent="0.25">
      <c r="I59" s="4"/>
    </row>
    <row r="60" spans="9:9" x14ac:dyDescent="0.25">
      <c r="I60" s="4"/>
    </row>
    <row r="61" spans="9:9" x14ac:dyDescent="0.25">
      <c r="I61" s="4"/>
    </row>
    <row r="62" spans="9:9" x14ac:dyDescent="0.25">
      <c r="I62" s="4"/>
    </row>
    <row r="63" spans="9:9" x14ac:dyDescent="0.25">
      <c r="I63" s="4"/>
    </row>
    <row r="64" spans="9:9" x14ac:dyDescent="0.25">
      <c r="I64" s="4"/>
    </row>
    <row r="65" spans="9:9" x14ac:dyDescent="0.25">
      <c r="I65" s="4"/>
    </row>
    <row r="66" spans="9:9" x14ac:dyDescent="0.25">
      <c r="I66" s="4"/>
    </row>
    <row r="67" spans="9:9" x14ac:dyDescent="0.25">
      <c r="I67" s="4"/>
    </row>
    <row r="68" spans="9:9" x14ac:dyDescent="0.25">
      <c r="I68" s="4"/>
    </row>
    <row r="69" spans="9:9" x14ac:dyDescent="0.25">
      <c r="I69" s="4"/>
    </row>
    <row r="70" spans="9:9" x14ac:dyDescent="0.25">
      <c r="I70" s="4"/>
    </row>
    <row r="71" spans="9:9" x14ac:dyDescent="0.25">
      <c r="I71" s="4"/>
    </row>
    <row r="72" spans="9:9" x14ac:dyDescent="0.25">
      <c r="I72" s="4"/>
    </row>
    <row r="73" spans="9:9" x14ac:dyDescent="0.25">
      <c r="I73" s="4"/>
    </row>
    <row r="74" spans="9:9" x14ac:dyDescent="0.25">
      <c r="I74" s="4"/>
    </row>
    <row r="75" spans="9:9" x14ac:dyDescent="0.25">
      <c r="I75" s="4"/>
    </row>
    <row r="76" spans="9:9" x14ac:dyDescent="0.25">
      <c r="I76" s="4"/>
    </row>
    <row r="77" spans="9:9" x14ac:dyDescent="0.25">
      <c r="I77" s="4"/>
    </row>
    <row r="78" spans="9:9" x14ac:dyDescent="0.25">
      <c r="I78" s="4"/>
    </row>
    <row r="79" spans="9:9" x14ac:dyDescent="0.25">
      <c r="I79" s="4"/>
    </row>
    <row r="80" spans="9:9" x14ac:dyDescent="0.25">
      <c r="I80" s="4"/>
    </row>
    <row r="81" spans="9:9" x14ac:dyDescent="0.25">
      <c r="I81" s="4"/>
    </row>
    <row r="82" spans="9:9" x14ac:dyDescent="0.25">
      <c r="I82" s="4"/>
    </row>
    <row r="83" spans="9:9" x14ac:dyDescent="0.25">
      <c r="I83" s="4"/>
    </row>
    <row r="84" spans="9:9" x14ac:dyDescent="0.25">
      <c r="I84" s="4"/>
    </row>
    <row r="85" spans="9:9" x14ac:dyDescent="0.25">
      <c r="I85" s="4"/>
    </row>
    <row r="86" spans="9:9" x14ac:dyDescent="0.25">
      <c r="I86" s="4"/>
    </row>
    <row r="87" spans="9:9" x14ac:dyDescent="0.25">
      <c r="I87" s="4"/>
    </row>
    <row r="88" spans="9:9" x14ac:dyDescent="0.25">
      <c r="I88" s="4"/>
    </row>
    <row r="89" spans="9:9" x14ac:dyDescent="0.25">
      <c r="I89" s="4"/>
    </row>
    <row r="90" spans="9:9" x14ac:dyDescent="0.25">
      <c r="I90" s="4"/>
    </row>
    <row r="91" spans="9:9" x14ac:dyDescent="0.25">
      <c r="I91" s="4"/>
    </row>
    <row r="92" spans="9:9" x14ac:dyDescent="0.25">
      <c r="I92" s="4"/>
    </row>
    <row r="93" spans="9:9" x14ac:dyDescent="0.25">
      <c r="I93" s="4"/>
    </row>
    <row r="94" spans="9:9" x14ac:dyDescent="0.25">
      <c r="I94" s="4"/>
    </row>
    <row r="95" spans="9:9" x14ac:dyDescent="0.25">
      <c r="I95" s="4"/>
    </row>
    <row r="96" spans="9:9" x14ac:dyDescent="0.25">
      <c r="I96" s="4"/>
    </row>
    <row r="97" spans="9:9" x14ac:dyDescent="0.25">
      <c r="I97" s="4"/>
    </row>
    <row r="98" spans="9:9" x14ac:dyDescent="0.25">
      <c r="I98" s="4"/>
    </row>
    <row r="99" spans="9:9" x14ac:dyDescent="0.25">
      <c r="I99" s="4"/>
    </row>
    <row r="100" spans="9:9" x14ac:dyDescent="0.25">
      <c r="I100" s="4"/>
    </row>
    <row r="101" spans="9:9" x14ac:dyDescent="0.25">
      <c r="I101" s="4"/>
    </row>
    <row r="102" spans="9:9" x14ac:dyDescent="0.25">
      <c r="I102" s="4"/>
    </row>
    <row r="103" spans="9:9" x14ac:dyDescent="0.25">
      <c r="I103" s="4"/>
    </row>
    <row r="104" spans="9:9" x14ac:dyDescent="0.25">
      <c r="I104" s="4"/>
    </row>
    <row r="105" spans="9:9" x14ac:dyDescent="0.25">
      <c r="I105" s="4"/>
    </row>
    <row r="106" spans="9:9" x14ac:dyDescent="0.25">
      <c r="I106" s="4"/>
    </row>
    <row r="107" spans="9:9" x14ac:dyDescent="0.25">
      <c r="I107" s="4"/>
    </row>
    <row r="108" spans="9:9" x14ac:dyDescent="0.25">
      <c r="I108" s="4"/>
    </row>
    <row r="109" spans="9:9" x14ac:dyDescent="0.25">
      <c r="I109" s="4"/>
    </row>
    <row r="110" spans="9:9" x14ac:dyDescent="0.25">
      <c r="I110" s="4"/>
    </row>
    <row r="111" spans="9:9" x14ac:dyDescent="0.25">
      <c r="I111" s="4"/>
    </row>
    <row r="112" spans="9:9" x14ac:dyDescent="0.25">
      <c r="I112" s="4"/>
    </row>
    <row r="113" spans="9:9" x14ac:dyDescent="0.25">
      <c r="I113" s="4"/>
    </row>
    <row r="114" spans="9:9" x14ac:dyDescent="0.25">
      <c r="I114" s="4"/>
    </row>
    <row r="115" spans="9:9" x14ac:dyDescent="0.25">
      <c r="I115" s="4"/>
    </row>
    <row r="116" spans="9:9" x14ac:dyDescent="0.25">
      <c r="I116" s="4"/>
    </row>
    <row r="117" spans="9:9" x14ac:dyDescent="0.25">
      <c r="I117" s="4"/>
    </row>
    <row r="118" spans="9:9" x14ac:dyDescent="0.25">
      <c r="I118" s="4"/>
    </row>
    <row r="119" spans="9:9" x14ac:dyDescent="0.25">
      <c r="I119" s="4"/>
    </row>
    <row r="120" spans="9:9" x14ac:dyDescent="0.25">
      <c r="I120" s="4"/>
    </row>
    <row r="121" spans="9:9" x14ac:dyDescent="0.25">
      <c r="I121" s="4"/>
    </row>
    <row r="122" spans="9:9" x14ac:dyDescent="0.25">
      <c r="I122" s="4"/>
    </row>
    <row r="123" spans="9:9" x14ac:dyDescent="0.25">
      <c r="I123" s="4"/>
    </row>
    <row r="124" spans="9:9" x14ac:dyDescent="0.25">
      <c r="I124" s="4"/>
    </row>
    <row r="125" spans="9:9" x14ac:dyDescent="0.25">
      <c r="I125" s="4"/>
    </row>
    <row r="126" spans="9:9" x14ac:dyDescent="0.25">
      <c r="I126" s="4"/>
    </row>
    <row r="127" spans="9:9" x14ac:dyDescent="0.25">
      <c r="I127" s="4"/>
    </row>
    <row r="128" spans="9:9" x14ac:dyDescent="0.25">
      <c r="I128" s="4"/>
    </row>
    <row r="129" spans="9:9" x14ac:dyDescent="0.25">
      <c r="I129" s="4"/>
    </row>
    <row r="130" spans="9:9" x14ac:dyDescent="0.25">
      <c r="I130" s="4"/>
    </row>
    <row r="131" spans="9:9" x14ac:dyDescent="0.25">
      <c r="I131" s="4"/>
    </row>
    <row r="132" spans="9:9" x14ac:dyDescent="0.25">
      <c r="I132" s="4"/>
    </row>
    <row r="133" spans="9:9" x14ac:dyDescent="0.25">
      <c r="I133" s="4"/>
    </row>
    <row r="134" spans="9:9" x14ac:dyDescent="0.25">
      <c r="I134" s="4"/>
    </row>
    <row r="135" spans="9:9" x14ac:dyDescent="0.25">
      <c r="I135" s="4"/>
    </row>
    <row r="136" spans="9:9" x14ac:dyDescent="0.25">
      <c r="I136" s="4"/>
    </row>
    <row r="137" spans="9:9" x14ac:dyDescent="0.25">
      <c r="I137" s="4"/>
    </row>
    <row r="138" spans="9:9" x14ac:dyDescent="0.25">
      <c r="I138" s="4"/>
    </row>
    <row r="139" spans="9:9" x14ac:dyDescent="0.25">
      <c r="I139" s="4"/>
    </row>
    <row r="140" spans="9:9" x14ac:dyDescent="0.25">
      <c r="I140" s="4"/>
    </row>
    <row r="141" spans="9:9" x14ac:dyDescent="0.25">
      <c r="I141" s="4"/>
    </row>
    <row r="142" spans="9:9" x14ac:dyDescent="0.25">
      <c r="I142" s="4"/>
    </row>
    <row r="143" spans="9:9" x14ac:dyDescent="0.25">
      <c r="I143" s="4"/>
    </row>
    <row r="144" spans="9:9" x14ac:dyDescent="0.25">
      <c r="I144" s="4"/>
    </row>
    <row r="145" spans="9:9" x14ac:dyDescent="0.25">
      <c r="I145" s="4"/>
    </row>
    <row r="146" spans="9:9" x14ac:dyDescent="0.25">
      <c r="I146" s="4"/>
    </row>
    <row r="147" spans="9:9" x14ac:dyDescent="0.25">
      <c r="I147" s="4"/>
    </row>
    <row r="148" spans="9:9" x14ac:dyDescent="0.25">
      <c r="I148" s="4"/>
    </row>
    <row r="149" spans="9:9" x14ac:dyDescent="0.25">
      <c r="I149" s="4"/>
    </row>
    <row r="150" spans="9:9" x14ac:dyDescent="0.25">
      <c r="I150" s="4"/>
    </row>
    <row r="151" spans="9:9" x14ac:dyDescent="0.25">
      <c r="I151" s="4"/>
    </row>
    <row r="152" spans="9:9" x14ac:dyDescent="0.25">
      <c r="I152" s="4"/>
    </row>
    <row r="153" spans="9:9" x14ac:dyDescent="0.25">
      <c r="I153" s="4"/>
    </row>
    <row r="154" spans="9:9" x14ac:dyDescent="0.25">
      <c r="I154" s="4"/>
    </row>
    <row r="155" spans="9:9" x14ac:dyDescent="0.25">
      <c r="I155" s="4"/>
    </row>
    <row r="156" spans="9:9" x14ac:dyDescent="0.25">
      <c r="I156" s="4"/>
    </row>
    <row r="157" spans="9:9" x14ac:dyDescent="0.25">
      <c r="I157" s="4"/>
    </row>
    <row r="158" spans="9:9" x14ac:dyDescent="0.25">
      <c r="I158" s="4"/>
    </row>
    <row r="159" spans="9:9" x14ac:dyDescent="0.25">
      <c r="I159" s="4"/>
    </row>
    <row r="160" spans="9:9" x14ac:dyDescent="0.25">
      <c r="I160" s="4"/>
    </row>
    <row r="161" spans="9:9" x14ac:dyDescent="0.25">
      <c r="I161" s="4"/>
    </row>
    <row r="162" spans="9:9" x14ac:dyDescent="0.25">
      <c r="I162" s="4"/>
    </row>
    <row r="163" spans="9:9" x14ac:dyDescent="0.25">
      <c r="I163" s="4"/>
    </row>
    <row r="164" spans="9:9" x14ac:dyDescent="0.25">
      <c r="I164" s="4"/>
    </row>
    <row r="165" spans="9:9" x14ac:dyDescent="0.25">
      <c r="I165" s="4"/>
    </row>
    <row r="166" spans="9:9" x14ac:dyDescent="0.25">
      <c r="I166" s="4"/>
    </row>
    <row r="167" spans="9:9" x14ac:dyDescent="0.25">
      <c r="I167" s="4"/>
    </row>
    <row r="168" spans="9:9" x14ac:dyDescent="0.25">
      <c r="I168" s="4"/>
    </row>
    <row r="169" spans="9:9" x14ac:dyDescent="0.25">
      <c r="I169" s="4"/>
    </row>
    <row r="170" spans="9:9" x14ac:dyDescent="0.25">
      <c r="I170" s="4"/>
    </row>
    <row r="171" spans="9:9" x14ac:dyDescent="0.25">
      <c r="I171" s="4"/>
    </row>
    <row r="172" spans="9:9" x14ac:dyDescent="0.25">
      <c r="I172" s="4"/>
    </row>
    <row r="173" spans="9:9" x14ac:dyDescent="0.25">
      <c r="I173" s="4"/>
    </row>
    <row r="174" spans="9:9" x14ac:dyDescent="0.25">
      <c r="I174" s="4"/>
    </row>
    <row r="175" spans="9:9" x14ac:dyDescent="0.25">
      <c r="I175" s="4"/>
    </row>
    <row r="176" spans="9:9" x14ac:dyDescent="0.25">
      <c r="I176" s="4"/>
    </row>
    <row r="177" spans="9:9" x14ac:dyDescent="0.25">
      <c r="I177" s="4"/>
    </row>
    <row r="178" spans="9:9" x14ac:dyDescent="0.25">
      <c r="I178" s="4"/>
    </row>
    <row r="179" spans="9:9" x14ac:dyDescent="0.25">
      <c r="I179" s="4"/>
    </row>
    <row r="180" spans="9:9" x14ac:dyDescent="0.25">
      <c r="I180" s="4"/>
    </row>
    <row r="181" spans="9:9" x14ac:dyDescent="0.25">
      <c r="I181" s="4"/>
    </row>
    <row r="182" spans="9:9" x14ac:dyDescent="0.25">
      <c r="I182" s="4"/>
    </row>
    <row r="183" spans="9:9" x14ac:dyDescent="0.25">
      <c r="I183" s="4"/>
    </row>
    <row r="184" spans="9:9" x14ac:dyDescent="0.25">
      <c r="I184" s="4"/>
    </row>
    <row r="185" spans="9:9" x14ac:dyDescent="0.25">
      <c r="I185" s="4"/>
    </row>
    <row r="186" spans="9:9" x14ac:dyDescent="0.25">
      <c r="I186" s="4"/>
    </row>
    <row r="187" spans="9:9" x14ac:dyDescent="0.25">
      <c r="I187" s="4"/>
    </row>
    <row r="188" spans="9:9" x14ac:dyDescent="0.25">
      <c r="I188" s="4"/>
    </row>
    <row r="189" spans="9:9" x14ac:dyDescent="0.25">
      <c r="I189" s="4"/>
    </row>
    <row r="190" spans="9:9" x14ac:dyDescent="0.25">
      <c r="I190" s="4"/>
    </row>
    <row r="191" spans="9:9" x14ac:dyDescent="0.25">
      <c r="I191" s="4"/>
    </row>
    <row r="192" spans="9:9" x14ac:dyDescent="0.25">
      <c r="I192" s="4"/>
    </row>
    <row r="193" spans="9:9" x14ac:dyDescent="0.25">
      <c r="I193" s="4"/>
    </row>
    <row r="194" spans="9:9" x14ac:dyDescent="0.25">
      <c r="I194" s="4"/>
    </row>
    <row r="195" spans="9:9" x14ac:dyDescent="0.25">
      <c r="I195" s="4"/>
    </row>
    <row r="196" spans="9:9" x14ac:dyDescent="0.25">
      <c r="I196" s="4"/>
    </row>
    <row r="197" spans="9:9" x14ac:dyDescent="0.25">
      <c r="I197" s="4"/>
    </row>
    <row r="198" spans="9:9" x14ac:dyDescent="0.25">
      <c r="I198" s="4"/>
    </row>
    <row r="199" spans="9:9" x14ac:dyDescent="0.25">
      <c r="I199" s="4"/>
    </row>
    <row r="200" spans="9:9" x14ac:dyDescent="0.25">
      <c r="I200" s="4"/>
    </row>
    <row r="201" spans="9:9" x14ac:dyDescent="0.25">
      <c r="I201" s="4"/>
    </row>
    <row r="202" spans="9:9" x14ac:dyDescent="0.25">
      <c r="I202" s="4"/>
    </row>
    <row r="203" spans="9:9" x14ac:dyDescent="0.25">
      <c r="I203" s="4"/>
    </row>
    <row r="204" spans="9:9" x14ac:dyDescent="0.25">
      <c r="I204" s="4"/>
    </row>
    <row r="205" spans="9:9" x14ac:dyDescent="0.25">
      <c r="I205" s="4"/>
    </row>
    <row r="206" spans="9:9" x14ac:dyDescent="0.25">
      <c r="I206" s="4"/>
    </row>
    <row r="207" spans="9:9" x14ac:dyDescent="0.25">
      <c r="I207" s="4"/>
    </row>
    <row r="208" spans="9:9" x14ac:dyDescent="0.25">
      <c r="I208" s="4"/>
    </row>
    <row r="209" spans="9:9" x14ac:dyDescent="0.25">
      <c r="I209" s="4"/>
    </row>
    <row r="210" spans="9:9" x14ac:dyDescent="0.25">
      <c r="I210" s="4"/>
    </row>
    <row r="211" spans="9:9" x14ac:dyDescent="0.25">
      <c r="I211" s="4"/>
    </row>
    <row r="212" spans="9:9" x14ac:dyDescent="0.25">
      <c r="I212" s="4"/>
    </row>
    <row r="213" spans="9:9" x14ac:dyDescent="0.25">
      <c r="I213" s="4"/>
    </row>
    <row r="214" spans="9:9" x14ac:dyDescent="0.25">
      <c r="I214" s="4"/>
    </row>
    <row r="215" spans="9:9" x14ac:dyDescent="0.25">
      <c r="I215" s="4"/>
    </row>
    <row r="216" spans="9:9" x14ac:dyDescent="0.25">
      <c r="I216" s="4"/>
    </row>
    <row r="217" spans="9:9" x14ac:dyDescent="0.25">
      <c r="I217" s="4"/>
    </row>
    <row r="218" spans="9:9" x14ac:dyDescent="0.25">
      <c r="I218" s="4"/>
    </row>
    <row r="219" spans="9:9" x14ac:dyDescent="0.25">
      <c r="I219" s="4"/>
    </row>
    <row r="220" spans="9:9" x14ac:dyDescent="0.25">
      <c r="I220" s="4"/>
    </row>
    <row r="221" spans="9:9" x14ac:dyDescent="0.25">
      <c r="I221" s="4"/>
    </row>
    <row r="222" spans="9:9" x14ac:dyDescent="0.25">
      <c r="I222" s="4"/>
    </row>
    <row r="223" spans="9:9" x14ac:dyDescent="0.25">
      <c r="I223" s="4"/>
    </row>
    <row r="224" spans="9:9" x14ac:dyDescent="0.25">
      <c r="I224" s="4"/>
    </row>
    <row r="225" spans="9:9" x14ac:dyDescent="0.25">
      <c r="I225" s="4"/>
    </row>
    <row r="226" spans="9:9" x14ac:dyDescent="0.25">
      <c r="I226" s="4"/>
    </row>
    <row r="227" spans="9:9" x14ac:dyDescent="0.25">
      <c r="I227" s="4"/>
    </row>
    <row r="228" spans="9:9" x14ac:dyDescent="0.25">
      <c r="I228" s="4"/>
    </row>
    <row r="229" spans="9:9" x14ac:dyDescent="0.25">
      <c r="I229" s="4"/>
    </row>
    <row r="230" spans="9:9" x14ac:dyDescent="0.25">
      <c r="I230" s="4"/>
    </row>
    <row r="231" spans="9:9" x14ac:dyDescent="0.25">
      <c r="I231" s="4"/>
    </row>
    <row r="232" spans="9:9" x14ac:dyDescent="0.25">
      <c r="I232" s="4"/>
    </row>
    <row r="233" spans="9:9" x14ac:dyDescent="0.25">
      <c r="I233" s="4"/>
    </row>
    <row r="234" spans="9:9" x14ac:dyDescent="0.25">
      <c r="I234" s="4"/>
    </row>
    <row r="235" spans="9:9" x14ac:dyDescent="0.25">
      <c r="I235" s="4"/>
    </row>
    <row r="236" spans="9:9" x14ac:dyDescent="0.25">
      <c r="I236" s="4"/>
    </row>
    <row r="237" spans="9:9" x14ac:dyDescent="0.25">
      <c r="I237" s="4"/>
    </row>
    <row r="238" spans="9:9" x14ac:dyDescent="0.25">
      <c r="I238" s="4"/>
    </row>
    <row r="239" spans="9:9" x14ac:dyDescent="0.25">
      <c r="I239" s="4"/>
    </row>
    <row r="240" spans="9:9" x14ac:dyDescent="0.25">
      <c r="I240" s="4"/>
    </row>
    <row r="241" spans="9:9" x14ac:dyDescent="0.25">
      <c r="I241" s="4"/>
    </row>
    <row r="242" spans="9:9" x14ac:dyDescent="0.25">
      <c r="I242" s="4"/>
    </row>
    <row r="243" spans="9:9" x14ac:dyDescent="0.25">
      <c r="I243" s="4"/>
    </row>
    <row r="244" spans="9:9" x14ac:dyDescent="0.25">
      <c r="I244" s="4"/>
    </row>
    <row r="245" spans="9:9" x14ac:dyDescent="0.25">
      <c r="I245" s="4"/>
    </row>
    <row r="246" spans="9:9" x14ac:dyDescent="0.25">
      <c r="I246" s="4"/>
    </row>
    <row r="247" spans="9:9" x14ac:dyDescent="0.25">
      <c r="I247" s="4"/>
    </row>
    <row r="248" spans="9:9" x14ac:dyDescent="0.25">
      <c r="I248" s="4"/>
    </row>
    <row r="249" spans="9:9" x14ac:dyDescent="0.25">
      <c r="I249" s="4"/>
    </row>
    <row r="250" spans="9:9" x14ac:dyDescent="0.25">
      <c r="I250" s="4"/>
    </row>
    <row r="251" spans="9:9" x14ac:dyDescent="0.25">
      <c r="I251" s="4"/>
    </row>
    <row r="252" spans="9:9" x14ac:dyDescent="0.25">
      <c r="I252" s="4"/>
    </row>
    <row r="253" spans="9:9" x14ac:dyDescent="0.25">
      <c r="I253" s="4"/>
    </row>
    <row r="254" spans="9:9" x14ac:dyDescent="0.25">
      <c r="I254" s="4"/>
    </row>
    <row r="255" spans="9:9" x14ac:dyDescent="0.25">
      <c r="I255" s="4"/>
    </row>
    <row r="256" spans="9:9" x14ac:dyDescent="0.25">
      <c r="I256" s="4"/>
    </row>
    <row r="257" spans="9:9" x14ac:dyDescent="0.25">
      <c r="I257" s="4"/>
    </row>
    <row r="258" spans="9:9" x14ac:dyDescent="0.25">
      <c r="I258" s="4"/>
    </row>
    <row r="259" spans="9:9" x14ac:dyDescent="0.25">
      <c r="I259" s="4"/>
    </row>
    <row r="260" spans="9:9" x14ac:dyDescent="0.25">
      <c r="I260" s="4"/>
    </row>
    <row r="261" spans="9:9" x14ac:dyDescent="0.25">
      <c r="I261" s="4"/>
    </row>
    <row r="262" spans="9:9" x14ac:dyDescent="0.25">
      <c r="I262" s="4"/>
    </row>
    <row r="263" spans="9:9" x14ac:dyDescent="0.25">
      <c r="I263" s="4"/>
    </row>
    <row r="264" spans="9:9" x14ac:dyDescent="0.25">
      <c r="I264" s="4"/>
    </row>
    <row r="265" spans="9:9" x14ac:dyDescent="0.25">
      <c r="I265" s="4"/>
    </row>
    <row r="266" spans="9:9" x14ac:dyDescent="0.25">
      <c r="I266" s="4"/>
    </row>
    <row r="267" spans="9:9" x14ac:dyDescent="0.25">
      <c r="I267" s="4"/>
    </row>
    <row r="268" spans="9:9" x14ac:dyDescent="0.25">
      <c r="I268" s="4"/>
    </row>
    <row r="269" spans="9:9" x14ac:dyDescent="0.25">
      <c r="I269" s="4"/>
    </row>
    <row r="270" spans="9:9" x14ac:dyDescent="0.25">
      <c r="I270" s="4"/>
    </row>
    <row r="271" spans="9:9" x14ac:dyDescent="0.25">
      <c r="I271" s="4"/>
    </row>
    <row r="272" spans="9:9" x14ac:dyDescent="0.25">
      <c r="I272" s="4"/>
    </row>
    <row r="273" spans="9:9" x14ac:dyDescent="0.25">
      <c r="I273" s="4"/>
    </row>
    <row r="274" spans="9:9" x14ac:dyDescent="0.25">
      <c r="I274" s="4"/>
    </row>
    <row r="275" spans="9:9" x14ac:dyDescent="0.25">
      <c r="I275" s="4"/>
    </row>
    <row r="276" spans="9:9" x14ac:dyDescent="0.25">
      <c r="I276" s="4"/>
    </row>
    <row r="277" spans="9:9" x14ac:dyDescent="0.25">
      <c r="I277" s="4"/>
    </row>
    <row r="278" spans="9:9" x14ac:dyDescent="0.25">
      <c r="I278" s="4"/>
    </row>
    <row r="279" spans="9:9" x14ac:dyDescent="0.25">
      <c r="I279" s="4"/>
    </row>
    <row r="280" spans="9:9" x14ac:dyDescent="0.25">
      <c r="I280" s="4"/>
    </row>
    <row r="281" spans="9:9" x14ac:dyDescent="0.25">
      <c r="I281" s="4"/>
    </row>
    <row r="282" spans="9:9" x14ac:dyDescent="0.25">
      <c r="I282" s="4"/>
    </row>
    <row r="283" spans="9:9" x14ac:dyDescent="0.25">
      <c r="I283" s="4"/>
    </row>
    <row r="284" spans="9:9" x14ac:dyDescent="0.25">
      <c r="I284" s="4"/>
    </row>
    <row r="285" spans="9:9" x14ac:dyDescent="0.25">
      <c r="I285" s="4"/>
    </row>
    <row r="286" spans="9:9" x14ac:dyDescent="0.25">
      <c r="I286" s="4"/>
    </row>
    <row r="287" spans="9:9" x14ac:dyDescent="0.25">
      <c r="I287" s="4"/>
    </row>
    <row r="288" spans="9:9" x14ac:dyDescent="0.25">
      <c r="I288" s="4"/>
    </row>
    <row r="289" spans="9:9" x14ac:dyDescent="0.25">
      <c r="I289" s="4"/>
    </row>
    <row r="290" spans="9:9" x14ac:dyDescent="0.25">
      <c r="I290" s="4"/>
    </row>
    <row r="291" spans="9:9" x14ac:dyDescent="0.25">
      <c r="I291" s="4"/>
    </row>
    <row r="292" spans="9:9" x14ac:dyDescent="0.25">
      <c r="I292" s="4"/>
    </row>
    <row r="293" spans="9:9" x14ac:dyDescent="0.25">
      <c r="I293" s="4"/>
    </row>
    <row r="294" spans="9:9" x14ac:dyDescent="0.25">
      <c r="I294" s="4"/>
    </row>
    <row r="295" spans="9:9" x14ac:dyDescent="0.25">
      <c r="I295" s="4"/>
    </row>
    <row r="296" spans="9:9" x14ac:dyDescent="0.25">
      <c r="I296" s="4"/>
    </row>
    <row r="297" spans="9:9" x14ac:dyDescent="0.25">
      <c r="I297" s="4"/>
    </row>
    <row r="298" spans="9:9" x14ac:dyDescent="0.25">
      <c r="I298" s="4"/>
    </row>
    <row r="299" spans="9:9" x14ac:dyDescent="0.25">
      <c r="I299" s="4"/>
    </row>
    <row r="300" spans="9:9" x14ac:dyDescent="0.25">
      <c r="I300" s="4"/>
    </row>
    <row r="301" spans="9:9" x14ac:dyDescent="0.25">
      <c r="I301" s="4"/>
    </row>
    <row r="302" spans="9:9" x14ac:dyDescent="0.25">
      <c r="I302" s="4"/>
    </row>
    <row r="303" spans="9:9" x14ac:dyDescent="0.25">
      <c r="I303" s="4"/>
    </row>
    <row r="304" spans="9:9" x14ac:dyDescent="0.25">
      <c r="I304" s="4"/>
    </row>
    <row r="305" spans="9:9" x14ac:dyDescent="0.25">
      <c r="I305" s="4"/>
    </row>
    <row r="306" spans="9:9" x14ac:dyDescent="0.25">
      <c r="I306" s="4"/>
    </row>
    <row r="307" spans="9:9" x14ac:dyDescent="0.25">
      <c r="I307" s="4"/>
    </row>
    <row r="308" spans="9:9" x14ac:dyDescent="0.25">
      <c r="I308" s="4"/>
    </row>
    <row r="309" spans="9:9" x14ac:dyDescent="0.25">
      <c r="I309" s="4"/>
    </row>
    <row r="310" spans="9:9" x14ac:dyDescent="0.25">
      <c r="I310" s="4"/>
    </row>
    <row r="311" spans="9:9" x14ac:dyDescent="0.25">
      <c r="I311" s="4"/>
    </row>
    <row r="312" spans="9:9" x14ac:dyDescent="0.25">
      <c r="I312" s="4"/>
    </row>
    <row r="313" spans="9:9" x14ac:dyDescent="0.25">
      <c r="I313" s="4"/>
    </row>
    <row r="314" spans="9:9" x14ac:dyDescent="0.25">
      <c r="I314" s="4"/>
    </row>
    <row r="315" spans="9:9" x14ac:dyDescent="0.25">
      <c r="I315" s="4"/>
    </row>
    <row r="316" spans="9:9" x14ac:dyDescent="0.25">
      <c r="I316" s="4"/>
    </row>
    <row r="317" spans="9:9" x14ac:dyDescent="0.25">
      <c r="I317" s="4"/>
    </row>
    <row r="318" spans="9:9" x14ac:dyDescent="0.25">
      <c r="I318" s="4"/>
    </row>
    <row r="319" spans="9:9" x14ac:dyDescent="0.25">
      <c r="I319" s="4"/>
    </row>
    <row r="320" spans="9:9" x14ac:dyDescent="0.25">
      <c r="I320" s="4"/>
    </row>
    <row r="321" spans="9:9" x14ac:dyDescent="0.25">
      <c r="I321" s="4"/>
    </row>
    <row r="322" spans="9:9" x14ac:dyDescent="0.25">
      <c r="I322" s="4"/>
    </row>
    <row r="323" spans="9:9" x14ac:dyDescent="0.25">
      <c r="I323" s="4"/>
    </row>
    <row r="324" spans="9:9" x14ac:dyDescent="0.25">
      <c r="I324" s="4"/>
    </row>
    <row r="325" spans="9:9" x14ac:dyDescent="0.25">
      <c r="I325" s="4"/>
    </row>
    <row r="326" spans="9:9" x14ac:dyDescent="0.25">
      <c r="I326" s="4"/>
    </row>
    <row r="327" spans="9:9" x14ac:dyDescent="0.25">
      <c r="I327" s="4"/>
    </row>
    <row r="328" spans="9:9" x14ac:dyDescent="0.25">
      <c r="I328" s="4"/>
    </row>
    <row r="329" spans="9:9" x14ac:dyDescent="0.25">
      <c r="I329" s="4"/>
    </row>
    <row r="330" spans="9:9" x14ac:dyDescent="0.25">
      <c r="I330" s="4"/>
    </row>
    <row r="331" spans="9:9" x14ac:dyDescent="0.25">
      <c r="I331" s="4"/>
    </row>
    <row r="332" spans="9:9" x14ac:dyDescent="0.25">
      <c r="I332" s="4"/>
    </row>
    <row r="333" spans="9:9" x14ac:dyDescent="0.25">
      <c r="I333" s="4"/>
    </row>
    <row r="334" spans="9:9" x14ac:dyDescent="0.25">
      <c r="I334" s="4"/>
    </row>
    <row r="335" spans="9:9" x14ac:dyDescent="0.25">
      <c r="I335" s="4"/>
    </row>
    <row r="336" spans="9:9" x14ac:dyDescent="0.25">
      <c r="I336" s="4"/>
    </row>
    <row r="337" spans="9:9" x14ac:dyDescent="0.25">
      <c r="I337" s="4"/>
    </row>
    <row r="338" spans="9:9" x14ac:dyDescent="0.25">
      <c r="I338" s="4"/>
    </row>
    <row r="339" spans="9:9" x14ac:dyDescent="0.25">
      <c r="I339" s="4"/>
    </row>
    <row r="340" spans="9:9" x14ac:dyDescent="0.25">
      <c r="I340" s="4"/>
    </row>
    <row r="341" spans="9:9" x14ac:dyDescent="0.25">
      <c r="I341" s="4"/>
    </row>
    <row r="342" spans="9:9" x14ac:dyDescent="0.25">
      <c r="I342" s="4"/>
    </row>
    <row r="343" spans="9:9" x14ac:dyDescent="0.25">
      <c r="I343" s="4"/>
    </row>
    <row r="344" spans="9:9" x14ac:dyDescent="0.25">
      <c r="I344" s="4"/>
    </row>
    <row r="345" spans="9:9" x14ac:dyDescent="0.25">
      <c r="I345" s="4"/>
    </row>
    <row r="346" spans="9:9" x14ac:dyDescent="0.25">
      <c r="I346" s="4"/>
    </row>
    <row r="347" spans="9:9" x14ac:dyDescent="0.25">
      <c r="I347" s="4"/>
    </row>
    <row r="348" spans="9:9" x14ac:dyDescent="0.25">
      <c r="I348" s="4"/>
    </row>
    <row r="349" spans="9:9" x14ac:dyDescent="0.25">
      <c r="I349" s="4"/>
    </row>
    <row r="350" spans="9:9" x14ac:dyDescent="0.25">
      <c r="I350" s="4"/>
    </row>
    <row r="351" spans="9:9" x14ac:dyDescent="0.25">
      <c r="I351" s="4"/>
    </row>
    <row r="352" spans="9:9" x14ac:dyDescent="0.25">
      <c r="I352" s="4"/>
    </row>
    <row r="353" spans="9:9" x14ac:dyDescent="0.25">
      <c r="I353" s="4"/>
    </row>
    <row r="354" spans="9:9" x14ac:dyDescent="0.25">
      <c r="I354" s="4"/>
    </row>
    <row r="355" spans="9:9" x14ac:dyDescent="0.25">
      <c r="I355" s="4"/>
    </row>
    <row r="356" spans="9:9" x14ac:dyDescent="0.25">
      <c r="I356" s="4"/>
    </row>
    <row r="357" spans="9:9" x14ac:dyDescent="0.25">
      <c r="I357" s="4"/>
    </row>
    <row r="358" spans="9:9" x14ac:dyDescent="0.25">
      <c r="I358" s="4"/>
    </row>
    <row r="359" spans="9:9" x14ac:dyDescent="0.25">
      <c r="I359" s="4"/>
    </row>
    <row r="360" spans="9:9" x14ac:dyDescent="0.25">
      <c r="I360" s="4"/>
    </row>
    <row r="361" spans="9:9" x14ac:dyDescent="0.25">
      <c r="I361" s="4"/>
    </row>
    <row r="362" spans="9:9" x14ac:dyDescent="0.25">
      <c r="I362" s="4"/>
    </row>
    <row r="363" spans="9:9" x14ac:dyDescent="0.25">
      <c r="I363" s="4"/>
    </row>
    <row r="364" spans="9:9" x14ac:dyDescent="0.25">
      <c r="I364" s="4"/>
    </row>
    <row r="365" spans="9:9" x14ac:dyDescent="0.25">
      <c r="I365" s="4"/>
    </row>
    <row r="366" spans="9:9" x14ac:dyDescent="0.25">
      <c r="I366" s="4"/>
    </row>
    <row r="367" spans="9:9" x14ac:dyDescent="0.25">
      <c r="I367" s="4"/>
    </row>
    <row r="368" spans="9:9" x14ac:dyDescent="0.25">
      <c r="I368" s="4"/>
    </row>
    <row r="369" spans="9:9" x14ac:dyDescent="0.25">
      <c r="I369" s="4"/>
    </row>
    <row r="370" spans="9:9" x14ac:dyDescent="0.25">
      <c r="I370" s="4"/>
    </row>
    <row r="371" spans="9:9" x14ac:dyDescent="0.25">
      <c r="I371" s="4"/>
    </row>
    <row r="372" spans="9:9" x14ac:dyDescent="0.25">
      <c r="I372" s="4"/>
    </row>
    <row r="373" spans="9:9" x14ac:dyDescent="0.25">
      <c r="I373" s="4"/>
    </row>
    <row r="374" spans="9:9" x14ac:dyDescent="0.25">
      <c r="I374" s="4"/>
    </row>
    <row r="375" spans="9:9" x14ac:dyDescent="0.25">
      <c r="I375" s="4"/>
    </row>
    <row r="376" spans="9:9" x14ac:dyDescent="0.25">
      <c r="I376" s="4"/>
    </row>
    <row r="377" spans="9:9" x14ac:dyDescent="0.25">
      <c r="I377" s="4"/>
    </row>
    <row r="378" spans="9:9" x14ac:dyDescent="0.25">
      <c r="I378" s="4"/>
    </row>
    <row r="379" spans="9:9" x14ac:dyDescent="0.25">
      <c r="I379" s="4"/>
    </row>
    <row r="380" spans="9:9" x14ac:dyDescent="0.25">
      <c r="I380" s="4"/>
    </row>
    <row r="381" spans="9:9" x14ac:dyDescent="0.25">
      <c r="I381" s="4"/>
    </row>
    <row r="382" spans="9:9" x14ac:dyDescent="0.25">
      <c r="I382" s="4"/>
    </row>
    <row r="383" spans="9:9" x14ac:dyDescent="0.25">
      <c r="I383" s="4"/>
    </row>
    <row r="384" spans="9:9" x14ac:dyDescent="0.25">
      <c r="I384" s="4"/>
    </row>
    <row r="385" spans="9:9" x14ac:dyDescent="0.25">
      <c r="I385" s="4"/>
    </row>
    <row r="386" spans="9:9" x14ac:dyDescent="0.25">
      <c r="I386" s="4"/>
    </row>
    <row r="387" spans="9:9" x14ac:dyDescent="0.25">
      <c r="I387" s="4"/>
    </row>
    <row r="388" spans="9:9" x14ac:dyDescent="0.25">
      <c r="I388" s="4"/>
    </row>
    <row r="389" spans="9:9" x14ac:dyDescent="0.25">
      <c r="I389" s="4"/>
    </row>
    <row r="390" spans="9:9" x14ac:dyDescent="0.25">
      <c r="I390" s="4"/>
    </row>
    <row r="391" spans="9:9" x14ac:dyDescent="0.25">
      <c r="I391" s="4"/>
    </row>
    <row r="392" spans="9:9" x14ac:dyDescent="0.25">
      <c r="I392" s="4"/>
    </row>
    <row r="393" spans="9:9" x14ac:dyDescent="0.25">
      <c r="I393" s="4"/>
    </row>
    <row r="394" spans="9:9" x14ac:dyDescent="0.25">
      <c r="I394" s="4"/>
    </row>
    <row r="395" spans="9:9" x14ac:dyDescent="0.25">
      <c r="I395" s="4"/>
    </row>
    <row r="396" spans="9:9" x14ac:dyDescent="0.25">
      <c r="I396" s="4"/>
    </row>
    <row r="397" spans="9:9" x14ac:dyDescent="0.25">
      <c r="I397" s="4"/>
    </row>
    <row r="398" spans="9:9" x14ac:dyDescent="0.25">
      <c r="I398" s="4"/>
    </row>
    <row r="399" spans="9:9" x14ac:dyDescent="0.25">
      <c r="I399" s="4"/>
    </row>
    <row r="400" spans="9:9" x14ac:dyDescent="0.25">
      <c r="I400" s="4"/>
    </row>
    <row r="401" spans="9:9" x14ac:dyDescent="0.25">
      <c r="I401" s="4"/>
    </row>
    <row r="402" spans="9:9" x14ac:dyDescent="0.25">
      <c r="I402" s="4"/>
    </row>
    <row r="403" spans="9:9" x14ac:dyDescent="0.25">
      <c r="I403" s="4"/>
    </row>
    <row r="404" spans="9:9" x14ac:dyDescent="0.25">
      <c r="I404" s="4"/>
    </row>
    <row r="405" spans="9:9" x14ac:dyDescent="0.25">
      <c r="I405" s="4"/>
    </row>
    <row r="406" spans="9:9" x14ac:dyDescent="0.25">
      <c r="I406" s="4"/>
    </row>
    <row r="407" spans="9:9" x14ac:dyDescent="0.25">
      <c r="I407" s="4"/>
    </row>
    <row r="408" spans="9:9" x14ac:dyDescent="0.25">
      <c r="I408" s="4"/>
    </row>
    <row r="409" spans="9:9" x14ac:dyDescent="0.25">
      <c r="I409" s="4"/>
    </row>
    <row r="410" spans="9:9" x14ac:dyDescent="0.25">
      <c r="I410" s="4"/>
    </row>
    <row r="411" spans="9:9" x14ac:dyDescent="0.25">
      <c r="I411" s="4"/>
    </row>
    <row r="412" spans="9:9" x14ac:dyDescent="0.25">
      <c r="I412" s="4"/>
    </row>
    <row r="413" spans="9:9" x14ac:dyDescent="0.25">
      <c r="I413" s="4"/>
    </row>
    <row r="414" spans="9:9" x14ac:dyDescent="0.25">
      <c r="I414" s="4"/>
    </row>
    <row r="415" spans="9:9" x14ac:dyDescent="0.25">
      <c r="I415" s="4"/>
    </row>
    <row r="416" spans="9:9" x14ac:dyDescent="0.25">
      <c r="I416" s="4"/>
    </row>
    <row r="417" spans="9:9" x14ac:dyDescent="0.25">
      <c r="I417" s="4"/>
    </row>
    <row r="418" spans="9:9" x14ac:dyDescent="0.25">
      <c r="I418" s="4"/>
    </row>
    <row r="419" spans="9:9" x14ac:dyDescent="0.25">
      <c r="I419" s="4"/>
    </row>
    <row r="420" spans="9:9" x14ac:dyDescent="0.25">
      <c r="I420" s="4"/>
    </row>
    <row r="421" spans="9:9" x14ac:dyDescent="0.25">
      <c r="I421" s="4"/>
    </row>
    <row r="422" spans="9:9" x14ac:dyDescent="0.25">
      <c r="I422" s="4"/>
    </row>
    <row r="423" spans="9:9" x14ac:dyDescent="0.25">
      <c r="I423" s="4"/>
    </row>
    <row r="424" spans="9:9" x14ac:dyDescent="0.25">
      <c r="I424" s="4"/>
    </row>
    <row r="425" spans="9:9" x14ac:dyDescent="0.25">
      <c r="I425" s="4"/>
    </row>
    <row r="426" spans="9:9" x14ac:dyDescent="0.25">
      <c r="I426" s="4"/>
    </row>
    <row r="427" spans="9:9" x14ac:dyDescent="0.25">
      <c r="I427" s="4"/>
    </row>
    <row r="428" spans="9:9" x14ac:dyDescent="0.25">
      <c r="I428" s="4"/>
    </row>
    <row r="429" spans="9:9" x14ac:dyDescent="0.25">
      <c r="I429" s="4"/>
    </row>
    <row r="430" spans="9:9" x14ac:dyDescent="0.25">
      <c r="I430" s="4"/>
    </row>
    <row r="431" spans="9:9" x14ac:dyDescent="0.25">
      <c r="I431" s="4"/>
    </row>
    <row r="432" spans="9:9" x14ac:dyDescent="0.25">
      <c r="I432" s="4"/>
    </row>
    <row r="433" spans="9:9" x14ac:dyDescent="0.25">
      <c r="I433" s="4"/>
    </row>
    <row r="434" spans="9:9" x14ac:dyDescent="0.25">
      <c r="I434" s="4"/>
    </row>
    <row r="435" spans="9:9" x14ac:dyDescent="0.25">
      <c r="I435" s="4"/>
    </row>
    <row r="436" spans="9:9" x14ac:dyDescent="0.25">
      <c r="I436" s="4"/>
    </row>
    <row r="437" spans="9:9" x14ac:dyDescent="0.25">
      <c r="I437" s="4"/>
    </row>
    <row r="438" spans="9:9" x14ac:dyDescent="0.25">
      <c r="I438" s="4"/>
    </row>
    <row r="439" spans="9:9" x14ac:dyDescent="0.25">
      <c r="I439" s="4"/>
    </row>
    <row r="440" spans="9:9" x14ac:dyDescent="0.25">
      <c r="I440" s="4"/>
    </row>
    <row r="441" spans="9:9" x14ac:dyDescent="0.25">
      <c r="I441" s="4"/>
    </row>
    <row r="442" spans="9:9" x14ac:dyDescent="0.25">
      <c r="I442" s="4"/>
    </row>
    <row r="443" spans="9:9" x14ac:dyDescent="0.25">
      <c r="I443" s="4"/>
    </row>
    <row r="444" spans="9:9" x14ac:dyDescent="0.25">
      <c r="I444" s="4"/>
    </row>
    <row r="445" spans="9:9" x14ac:dyDescent="0.25">
      <c r="I445" s="4"/>
    </row>
    <row r="446" spans="9:9" x14ac:dyDescent="0.25">
      <c r="I446" s="4"/>
    </row>
    <row r="447" spans="9:9" x14ac:dyDescent="0.25">
      <c r="I447" s="4"/>
    </row>
    <row r="448" spans="9:9" x14ac:dyDescent="0.25">
      <c r="I448" s="4"/>
    </row>
    <row r="449" spans="9:9" x14ac:dyDescent="0.25">
      <c r="I449" s="4"/>
    </row>
    <row r="450" spans="9:9" x14ac:dyDescent="0.25">
      <c r="I450" s="4"/>
    </row>
    <row r="451" spans="9:9" x14ac:dyDescent="0.25">
      <c r="I451" s="4"/>
    </row>
    <row r="452" spans="9:9" x14ac:dyDescent="0.25">
      <c r="I452" s="4"/>
    </row>
    <row r="453" spans="9:9" x14ac:dyDescent="0.25">
      <c r="I453" s="4"/>
    </row>
    <row r="454" spans="9:9" x14ac:dyDescent="0.25">
      <c r="I454" s="4"/>
    </row>
    <row r="455" spans="9:9" x14ac:dyDescent="0.25">
      <c r="I455" s="4"/>
    </row>
    <row r="456" spans="9:9" x14ac:dyDescent="0.25">
      <c r="I456" s="4"/>
    </row>
    <row r="457" spans="9:9" x14ac:dyDescent="0.25">
      <c r="I457" s="4"/>
    </row>
    <row r="458" spans="9:9" x14ac:dyDescent="0.25">
      <c r="I458" s="4"/>
    </row>
    <row r="459" spans="9:9" x14ac:dyDescent="0.25">
      <c r="I459" s="4"/>
    </row>
    <row r="460" spans="9:9" x14ac:dyDescent="0.25">
      <c r="I460" s="4"/>
    </row>
    <row r="461" spans="9:9" x14ac:dyDescent="0.25">
      <c r="I461" s="4"/>
    </row>
    <row r="462" spans="9:9" x14ac:dyDescent="0.25">
      <c r="I462" s="4"/>
    </row>
    <row r="463" spans="9:9" x14ac:dyDescent="0.25">
      <c r="I463" s="4"/>
    </row>
    <row r="464" spans="9:9" x14ac:dyDescent="0.25">
      <c r="I464" s="4"/>
    </row>
    <row r="465" spans="9:9" x14ac:dyDescent="0.25">
      <c r="I465" s="4"/>
    </row>
    <row r="466" spans="9:9" x14ac:dyDescent="0.25">
      <c r="I466" s="4"/>
    </row>
    <row r="467" spans="9:9" x14ac:dyDescent="0.25">
      <c r="I467" s="4"/>
    </row>
    <row r="468" spans="9:9" x14ac:dyDescent="0.25">
      <c r="I468" s="4"/>
    </row>
    <row r="469" spans="9:9" x14ac:dyDescent="0.25">
      <c r="I469" s="4"/>
    </row>
    <row r="470" spans="9:9" x14ac:dyDescent="0.25">
      <c r="I470" s="4"/>
    </row>
    <row r="471" spans="9:9" x14ac:dyDescent="0.25">
      <c r="I471" s="4"/>
    </row>
    <row r="472" spans="9:9" x14ac:dyDescent="0.25">
      <c r="I472" s="4"/>
    </row>
    <row r="473" spans="9:9" x14ac:dyDescent="0.25">
      <c r="I473" s="4"/>
    </row>
    <row r="474" spans="9:9" x14ac:dyDescent="0.25">
      <c r="I474" s="4"/>
    </row>
    <row r="475" spans="9:9" x14ac:dyDescent="0.25">
      <c r="I475" s="4"/>
    </row>
    <row r="476" spans="9:9" x14ac:dyDescent="0.25">
      <c r="I476" s="4"/>
    </row>
    <row r="477" spans="9:9" x14ac:dyDescent="0.25">
      <c r="I477" s="4"/>
    </row>
    <row r="478" spans="9:9" x14ac:dyDescent="0.25">
      <c r="I478" s="4"/>
    </row>
    <row r="479" spans="9:9" x14ac:dyDescent="0.25">
      <c r="I479" s="4"/>
    </row>
    <row r="480" spans="9:9" x14ac:dyDescent="0.25">
      <c r="I480" s="4"/>
    </row>
    <row r="481" spans="9:9" x14ac:dyDescent="0.25">
      <c r="I481" s="4"/>
    </row>
    <row r="482" spans="9:9" x14ac:dyDescent="0.25">
      <c r="I482" s="4"/>
    </row>
    <row r="483" spans="9:9" x14ac:dyDescent="0.25">
      <c r="I483" s="4"/>
    </row>
    <row r="484" spans="9:9" x14ac:dyDescent="0.25">
      <c r="I484" s="4"/>
    </row>
    <row r="485" spans="9:9" x14ac:dyDescent="0.25">
      <c r="I485" s="4"/>
    </row>
    <row r="486" spans="9:9" x14ac:dyDescent="0.25">
      <c r="I486" s="4"/>
    </row>
    <row r="487" spans="9:9" x14ac:dyDescent="0.25">
      <c r="I487" s="4"/>
    </row>
    <row r="488" spans="9:9" x14ac:dyDescent="0.25">
      <c r="I488" s="4"/>
    </row>
    <row r="489" spans="9:9" x14ac:dyDescent="0.25">
      <c r="I489" s="4"/>
    </row>
    <row r="490" spans="9:9" x14ac:dyDescent="0.25">
      <c r="I490" s="4"/>
    </row>
    <row r="491" spans="9:9" x14ac:dyDescent="0.25">
      <c r="I491" s="4"/>
    </row>
    <row r="492" spans="9:9" x14ac:dyDescent="0.25">
      <c r="I492" s="4"/>
    </row>
    <row r="493" spans="9:9" x14ac:dyDescent="0.25">
      <c r="I493" s="4"/>
    </row>
    <row r="494" spans="9:9" x14ac:dyDescent="0.25">
      <c r="I494" s="4"/>
    </row>
    <row r="495" spans="9:9" x14ac:dyDescent="0.25">
      <c r="I495" s="4"/>
    </row>
    <row r="496" spans="9:9" x14ac:dyDescent="0.25">
      <c r="I496" s="4"/>
    </row>
    <row r="497" spans="9:9" x14ac:dyDescent="0.25">
      <c r="I497" s="4"/>
    </row>
    <row r="498" spans="9:9" x14ac:dyDescent="0.25">
      <c r="I498" s="4"/>
    </row>
    <row r="499" spans="9:9" x14ac:dyDescent="0.25">
      <c r="I499" s="4"/>
    </row>
    <row r="500" spans="9:9" x14ac:dyDescent="0.25">
      <c r="I500" s="4"/>
    </row>
    <row r="501" spans="9:9" x14ac:dyDescent="0.25">
      <c r="I501" s="4"/>
    </row>
    <row r="502" spans="9:9" x14ac:dyDescent="0.25">
      <c r="I502" s="4"/>
    </row>
    <row r="503" spans="9:9" x14ac:dyDescent="0.25">
      <c r="I503" s="4"/>
    </row>
    <row r="504" spans="9:9" x14ac:dyDescent="0.25">
      <c r="I504" s="4"/>
    </row>
    <row r="505" spans="9:9" x14ac:dyDescent="0.25">
      <c r="I505" s="4"/>
    </row>
    <row r="506" spans="9:9" x14ac:dyDescent="0.25">
      <c r="I506" s="4"/>
    </row>
    <row r="507" spans="9:9" x14ac:dyDescent="0.25">
      <c r="I507" s="4"/>
    </row>
    <row r="508" spans="9:9" x14ac:dyDescent="0.25">
      <c r="I508" s="4"/>
    </row>
    <row r="509" spans="9:9" x14ac:dyDescent="0.25">
      <c r="I509" s="4"/>
    </row>
    <row r="510" spans="9:9" x14ac:dyDescent="0.25">
      <c r="I510" s="4"/>
    </row>
    <row r="511" spans="9:9" x14ac:dyDescent="0.25">
      <c r="I511" s="4"/>
    </row>
    <row r="512" spans="9:9" x14ac:dyDescent="0.25">
      <c r="I512" s="4"/>
    </row>
    <row r="513" spans="9:9" x14ac:dyDescent="0.25">
      <c r="I513" s="4"/>
    </row>
    <row r="514" spans="9:9" x14ac:dyDescent="0.25">
      <c r="I514" s="4"/>
    </row>
    <row r="515" spans="9:9" x14ac:dyDescent="0.25">
      <c r="I515" s="4"/>
    </row>
    <row r="516" spans="9:9" x14ac:dyDescent="0.25">
      <c r="I516" s="4"/>
    </row>
    <row r="517" spans="9:9" x14ac:dyDescent="0.25">
      <c r="I517" s="4"/>
    </row>
    <row r="518" spans="9:9" x14ac:dyDescent="0.25">
      <c r="I518" s="4"/>
    </row>
    <row r="519" spans="9:9" x14ac:dyDescent="0.25">
      <c r="I519" s="4"/>
    </row>
    <row r="520" spans="9:9" x14ac:dyDescent="0.25">
      <c r="I520" s="4"/>
    </row>
    <row r="521" spans="9:9" x14ac:dyDescent="0.25">
      <c r="I521" s="4"/>
    </row>
    <row r="522" spans="9:9" x14ac:dyDescent="0.25">
      <c r="I522" s="4"/>
    </row>
    <row r="523" spans="9:9" x14ac:dyDescent="0.25">
      <c r="I523" s="4"/>
    </row>
    <row r="524" spans="9:9" x14ac:dyDescent="0.25">
      <c r="I524" s="4"/>
    </row>
    <row r="525" spans="9:9" x14ac:dyDescent="0.25">
      <c r="I525" s="4"/>
    </row>
    <row r="526" spans="9:9" x14ac:dyDescent="0.25">
      <c r="I526" s="4"/>
    </row>
    <row r="527" spans="9:9" x14ac:dyDescent="0.25">
      <c r="I527" s="4"/>
    </row>
    <row r="528" spans="9:9" x14ac:dyDescent="0.25">
      <c r="I528" s="4"/>
    </row>
    <row r="529" spans="9:9" x14ac:dyDescent="0.25">
      <c r="I529" s="4"/>
    </row>
    <row r="530" spans="9:9" x14ac:dyDescent="0.25">
      <c r="I530" s="4"/>
    </row>
    <row r="531" spans="9:9" x14ac:dyDescent="0.25">
      <c r="I531" s="4"/>
    </row>
    <row r="532" spans="9:9" x14ac:dyDescent="0.25">
      <c r="I532" s="4"/>
    </row>
    <row r="533" spans="9:9" x14ac:dyDescent="0.25">
      <c r="I533" s="4"/>
    </row>
    <row r="534" spans="9:9" x14ac:dyDescent="0.25">
      <c r="I534" s="4"/>
    </row>
    <row r="535" spans="9:9" x14ac:dyDescent="0.25">
      <c r="I535" s="4"/>
    </row>
    <row r="536" spans="9:9" x14ac:dyDescent="0.25">
      <c r="I536" s="4"/>
    </row>
    <row r="537" spans="9:9" x14ac:dyDescent="0.25">
      <c r="I537" s="4"/>
    </row>
    <row r="538" spans="9:9" x14ac:dyDescent="0.25">
      <c r="I538" s="4"/>
    </row>
    <row r="539" spans="9:9" x14ac:dyDescent="0.25">
      <c r="I539" s="4"/>
    </row>
    <row r="540" spans="9:9" x14ac:dyDescent="0.25">
      <c r="I540" s="4"/>
    </row>
    <row r="541" spans="9:9" x14ac:dyDescent="0.25">
      <c r="I541" s="4"/>
    </row>
    <row r="542" spans="9:9" x14ac:dyDescent="0.25">
      <c r="I542" s="4"/>
    </row>
    <row r="543" spans="9:9" x14ac:dyDescent="0.25">
      <c r="I543" s="4"/>
    </row>
    <row r="544" spans="9:9" x14ac:dyDescent="0.25">
      <c r="I544" s="4"/>
    </row>
    <row r="545" spans="9:9" x14ac:dyDescent="0.25">
      <c r="I545" s="4"/>
    </row>
    <row r="546" spans="9:9" x14ac:dyDescent="0.25">
      <c r="I546" s="4"/>
    </row>
    <row r="547" spans="9:9" x14ac:dyDescent="0.25">
      <c r="I547" s="4"/>
    </row>
    <row r="548" spans="9:9" x14ac:dyDescent="0.25">
      <c r="I548" s="4"/>
    </row>
    <row r="549" spans="9:9" x14ac:dyDescent="0.25">
      <c r="I549" s="4"/>
    </row>
    <row r="550" spans="9:9" x14ac:dyDescent="0.25">
      <c r="I550" s="4"/>
    </row>
    <row r="551" spans="9:9" x14ac:dyDescent="0.25">
      <c r="I551" s="4"/>
    </row>
    <row r="552" spans="9:9" x14ac:dyDescent="0.25">
      <c r="I552" s="4"/>
    </row>
    <row r="553" spans="9:9" x14ac:dyDescent="0.25">
      <c r="I553" s="4"/>
    </row>
    <row r="554" spans="9:9" x14ac:dyDescent="0.25">
      <c r="I554" s="4"/>
    </row>
    <row r="555" spans="9:9" x14ac:dyDescent="0.25">
      <c r="I555" s="4"/>
    </row>
    <row r="556" spans="9:9" x14ac:dyDescent="0.25">
      <c r="I556" s="4"/>
    </row>
    <row r="557" spans="9:9" x14ac:dyDescent="0.25">
      <c r="I557" s="4"/>
    </row>
    <row r="558" spans="9:9" x14ac:dyDescent="0.25">
      <c r="I558" s="4"/>
    </row>
    <row r="559" spans="9:9" x14ac:dyDescent="0.25">
      <c r="I559" s="4"/>
    </row>
    <row r="560" spans="9:9" x14ac:dyDescent="0.25">
      <c r="I560" s="4"/>
    </row>
    <row r="561" spans="9:9" x14ac:dyDescent="0.25">
      <c r="I561" s="4"/>
    </row>
    <row r="562" spans="9:9" x14ac:dyDescent="0.25">
      <c r="I562" s="4"/>
    </row>
    <row r="563" spans="9:9" x14ac:dyDescent="0.25">
      <c r="I563" s="4"/>
    </row>
    <row r="564" spans="9:9" x14ac:dyDescent="0.25">
      <c r="I564" s="4"/>
    </row>
    <row r="565" spans="9:9" x14ac:dyDescent="0.25">
      <c r="I565" s="4"/>
    </row>
    <row r="566" spans="9:9" x14ac:dyDescent="0.25">
      <c r="I566" s="4"/>
    </row>
    <row r="567" spans="9:9" x14ac:dyDescent="0.25">
      <c r="I567" s="4"/>
    </row>
    <row r="568" spans="9:9" x14ac:dyDescent="0.25">
      <c r="I568" s="4"/>
    </row>
    <row r="569" spans="9:9" x14ac:dyDescent="0.25">
      <c r="I569" s="4"/>
    </row>
    <row r="570" spans="9:9" x14ac:dyDescent="0.25">
      <c r="I570" s="4"/>
    </row>
    <row r="571" spans="9:9" x14ac:dyDescent="0.25">
      <c r="I571" s="4"/>
    </row>
    <row r="572" spans="9:9" x14ac:dyDescent="0.25">
      <c r="I572" s="4"/>
    </row>
    <row r="573" spans="9:9" x14ac:dyDescent="0.25">
      <c r="I573" s="4"/>
    </row>
    <row r="574" spans="9:9" x14ac:dyDescent="0.25">
      <c r="I574" s="4"/>
    </row>
    <row r="575" spans="9:9" x14ac:dyDescent="0.25">
      <c r="I575" s="4"/>
    </row>
    <row r="576" spans="9:9" x14ac:dyDescent="0.25">
      <c r="I576" s="4"/>
    </row>
    <row r="577" spans="9:9" x14ac:dyDescent="0.25">
      <c r="I577" s="4"/>
    </row>
    <row r="578" spans="9:9" x14ac:dyDescent="0.25">
      <c r="I578" s="4"/>
    </row>
    <row r="579" spans="9:9" x14ac:dyDescent="0.25">
      <c r="I579" s="4"/>
    </row>
    <row r="580" spans="9:9" x14ac:dyDescent="0.25">
      <c r="I580" s="4"/>
    </row>
    <row r="581" spans="9:9" x14ac:dyDescent="0.25">
      <c r="I581" s="4"/>
    </row>
    <row r="582" spans="9:9" x14ac:dyDescent="0.25">
      <c r="I582" s="4"/>
    </row>
    <row r="583" spans="9:9" x14ac:dyDescent="0.25">
      <c r="I583" s="4"/>
    </row>
    <row r="584" spans="9:9" x14ac:dyDescent="0.25">
      <c r="I584" s="4"/>
    </row>
    <row r="585" spans="9:9" x14ac:dyDescent="0.25">
      <c r="I585" s="4"/>
    </row>
    <row r="586" spans="9:9" x14ac:dyDescent="0.25">
      <c r="I586" s="4"/>
    </row>
    <row r="587" spans="9:9" x14ac:dyDescent="0.25">
      <c r="I587" s="4"/>
    </row>
    <row r="588" spans="9:9" x14ac:dyDescent="0.25">
      <c r="I588" s="4"/>
    </row>
    <row r="589" spans="9:9" x14ac:dyDescent="0.25">
      <c r="I589" s="4"/>
    </row>
    <row r="590" spans="9:9" x14ac:dyDescent="0.25">
      <c r="I590" s="4"/>
    </row>
    <row r="591" spans="9:9" x14ac:dyDescent="0.25">
      <c r="I591" s="4"/>
    </row>
    <row r="592" spans="9:9" x14ac:dyDescent="0.25">
      <c r="I592" s="4"/>
    </row>
    <row r="593" spans="9:9" x14ac:dyDescent="0.25">
      <c r="I593" s="4"/>
    </row>
    <row r="594" spans="9:9" x14ac:dyDescent="0.25">
      <c r="I594" s="4"/>
    </row>
    <row r="595" spans="9:9" x14ac:dyDescent="0.25">
      <c r="I595" s="4"/>
    </row>
    <row r="596" spans="9:9" x14ac:dyDescent="0.25">
      <c r="I596" s="4"/>
    </row>
    <row r="597" spans="9:9" x14ac:dyDescent="0.25">
      <c r="I597" s="4"/>
    </row>
    <row r="598" spans="9:9" x14ac:dyDescent="0.25">
      <c r="I598" s="4"/>
    </row>
    <row r="599" spans="9:9" x14ac:dyDescent="0.25">
      <c r="I599" s="4"/>
    </row>
    <row r="600" spans="9:9" x14ac:dyDescent="0.25">
      <c r="I600" s="4"/>
    </row>
    <row r="601" spans="9:9" x14ac:dyDescent="0.25">
      <c r="I601" s="4"/>
    </row>
    <row r="602" spans="9:9" x14ac:dyDescent="0.25">
      <c r="I602" s="4"/>
    </row>
    <row r="603" spans="9:9" x14ac:dyDescent="0.25">
      <c r="I603" s="4"/>
    </row>
    <row r="604" spans="9:9" x14ac:dyDescent="0.25">
      <c r="I604" s="4"/>
    </row>
    <row r="605" spans="9:9" x14ac:dyDescent="0.25">
      <c r="I605" s="4"/>
    </row>
    <row r="606" spans="9:9" x14ac:dyDescent="0.25">
      <c r="I606" s="4"/>
    </row>
    <row r="607" spans="9:9" x14ac:dyDescent="0.25">
      <c r="I607" s="4"/>
    </row>
    <row r="608" spans="9:9" x14ac:dyDescent="0.25">
      <c r="I608" s="4"/>
    </row>
    <row r="609" spans="9:9" x14ac:dyDescent="0.25">
      <c r="I609" s="4"/>
    </row>
    <row r="610" spans="9:9" x14ac:dyDescent="0.25">
      <c r="I610" s="4"/>
    </row>
    <row r="611" spans="9:9" x14ac:dyDescent="0.25">
      <c r="I611" s="4"/>
    </row>
    <row r="612" spans="9:9" x14ac:dyDescent="0.25">
      <c r="I612" s="4"/>
    </row>
    <row r="613" spans="9:9" x14ac:dyDescent="0.25">
      <c r="I613" s="4"/>
    </row>
    <row r="614" spans="9:9" x14ac:dyDescent="0.25">
      <c r="I614" s="4"/>
    </row>
    <row r="615" spans="9:9" x14ac:dyDescent="0.25">
      <c r="I615" s="4"/>
    </row>
    <row r="616" spans="9:9" x14ac:dyDescent="0.25">
      <c r="I616" s="4"/>
    </row>
    <row r="617" spans="9:9" x14ac:dyDescent="0.25">
      <c r="I617" s="4"/>
    </row>
    <row r="618" spans="9:9" x14ac:dyDescent="0.25">
      <c r="I618" s="4"/>
    </row>
    <row r="619" spans="9:9" x14ac:dyDescent="0.25">
      <c r="I619" s="4"/>
    </row>
    <row r="620" spans="9:9" x14ac:dyDescent="0.25">
      <c r="I620" s="4"/>
    </row>
    <row r="621" spans="9:9" x14ac:dyDescent="0.25">
      <c r="I621" s="4"/>
    </row>
    <row r="622" spans="9:9" x14ac:dyDescent="0.25">
      <c r="I622" s="4"/>
    </row>
    <row r="623" spans="9:9" x14ac:dyDescent="0.25">
      <c r="I623" s="4"/>
    </row>
    <row r="624" spans="9:9" x14ac:dyDescent="0.25">
      <c r="I624" s="4"/>
    </row>
    <row r="625" spans="9:9" x14ac:dyDescent="0.25">
      <c r="I625" s="4"/>
    </row>
    <row r="626" spans="9:9" x14ac:dyDescent="0.25">
      <c r="I626" s="4"/>
    </row>
    <row r="627" spans="9:9" x14ac:dyDescent="0.25">
      <c r="I627" s="4"/>
    </row>
    <row r="628" spans="9:9" x14ac:dyDescent="0.25">
      <c r="I628" s="4"/>
    </row>
    <row r="629" spans="9:9" x14ac:dyDescent="0.25">
      <c r="I629" s="4"/>
    </row>
    <row r="630" spans="9:9" x14ac:dyDescent="0.25">
      <c r="I630" s="4"/>
    </row>
    <row r="631" spans="9:9" x14ac:dyDescent="0.25">
      <c r="I631" s="4"/>
    </row>
    <row r="632" spans="9:9" x14ac:dyDescent="0.25">
      <c r="I632" s="4"/>
    </row>
    <row r="633" spans="9:9" x14ac:dyDescent="0.25">
      <c r="I633" s="4"/>
    </row>
    <row r="634" spans="9:9" x14ac:dyDescent="0.25">
      <c r="I634" s="4"/>
    </row>
    <row r="635" spans="9:9" x14ac:dyDescent="0.25">
      <c r="I635" s="4"/>
    </row>
    <row r="636" spans="9:9" x14ac:dyDescent="0.25">
      <c r="I636" s="4"/>
    </row>
    <row r="637" spans="9:9" x14ac:dyDescent="0.25">
      <c r="I637" s="4"/>
    </row>
    <row r="638" spans="9:9" x14ac:dyDescent="0.25">
      <c r="I638" s="4"/>
    </row>
    <row r="639" spans="9:9" x14ac:dyDescent="0.25">
      <c r="I639" s="4"/>
    </row>
    <row r="640" spans="9:9" x14ac:dyDescent="0.25">
      <c r="I640" s="4"/>
    </row>
    <row r="641" spans="9:9" x14ac:dyDescent="0.25">
      <c r="I641" s="4"/>
    </row>
    <row r="642" spans="9:9" x14ac:dyDescent="0.25">
      <c r="I642" s="4"/>
    </row>
    <row r="643" spans="9:9" x14ac:dyDescent="0.25">
      <c r="I643" s="4"/>
    </row>
    <row r="644" spans="9:9" x14ac:dyDescent="0.25">
      <c r="I644" s="4"/>
    </row>
    <row r="645" spans="9:9" x14ac:dyDescent="0.25">
      <c r="I645" s="4"/>
    </row>
    <row r="646" spans="9:9" x14ac:dyDescent="0.25">
      <c r="I646" s="4"/>
    </row>
    <row r="647" spans="9:9" x14ac:dyDescent="0.25">
      <c r="I647" s="4"/>
    </row>
    <row r="648" spans="9:9" x14ac:dyDescent="0.25">
      <c r="I648" s="4"/>
    </row>
    <row r="649" spans="9:9" x14ac:dyDescent="0.25">
      <c r="I649" s="4"/>
    </row>
    <row r="650" spans="9:9" x14ac:dyDescent="0.25">
      <c r="I650" s="4"/>
    </row>
    <row r="651" spans="9:9" x14ac:dyDescent="0.25">
      <c r="I651" s="4"/>
    </row>
    <row r="652" spans="9:9" x14ac:dyDescent="0.25">
      <c r="I652" s="4"/>
    </row>
    <row r="653" spans="9:9" x14ac:dyDescent="0.25">
      <c r="I653" s="4"/>
    </row>
    <row r="654" spans="9:9" x14ac:dyDescent="0.25">
      <c r="I654" s="4"/>
    </row>
    <row r="655" spans="9:9" x14ac:dyDescent="0.25">
      <c r="I655" s="4"/>
    </row>
    <row r="656" spans="9:9" x14ac:dyDescent="0.25">
      <c r="I656" s="4"/>
    </row>
    <row r="657" spans="9:9" x14ac:dyDescent="0.25">
      <c r="I657" s="4"/>
    </row>
  </sheetData>
  <sortState xmlns:xlrd2="http://schemas.microsoft.com/office/spreadsheetml/2017/richdata2" ref="B3:M25">
    <sortCondition descending="1" ref="I2"/>
  </sortState>
  <mergeCells count="3">
    <mergeCell ref="C1:E1"/>
    <mergeCell ref="I1:K1"/>
    <mergeCell ref="F1:H1"/>
  </mergeCells>
  <pageMargins left="0.7" right="0.7" top="0.75" bottom="0.75" header="0.3" footer="0.3"/>
  <pageSetup paperSize="9"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126DB-F1E8-43BB-B7B8-5B33C03EDAB3}">
  <sheetPr codeName="Лист6">
    <tabColor theme="9" tint="0.79998168889431442"/>
  </sheetPr>
  <dimension ref="A1:N28"/>
  <sheetViews>
    <sheetView zoomScaleNormal="100" workbookViewId="0"/>
  </sheetViews>
  <sheetFormatPr defaultRowHeight="15" x14ac:dyDescent="0.25"/>
  <cols>
    <col min="2" max="2" width="37.85546875" style="50" customWidth="1"/>
    <col min="3" max="8" width="22.85546875" style="57" customWidth="1"/>
    <col min="9" max="9" width="14.5703125" style="57" customWidth="1"/>
    <col min="10" max="10" width="13.7109375" style="45" bestFit="1" customWidth="1"/>
    <col min="14" max="14" width="14.140625" customWidth="1"/>
    <col min="15" max="15" width="16.42578125" customWidth="1"/>
  </cols>
  <sheetData>
    <row r="1" spans="1:14" s="45" customFormat="1" x14ac:dyDescent="0.25">
      <c r="A1" s="167" t="s">
        <v>306</v>
      </c>
      <c r="B1" s="50"/>
      <c r="C1" s="57"/>
      <c r="D1" s="57"/>
      <c r="E1" s="57"/>
      <c r="F1" s="57"/>
      <c r="G1" s="57"/>
      <c r="H1" s="57"/>
      <c r="I1" s="57"/>
    </row>
    <row r="2" spans="1:14" s="45" customFormat="1" ht="33.75" x14ac:dyDescent="0.25">
      <c r="A2" s="130" t="s">
        <v>276</v>
      </c>
      <c r="B2" s="130" t="s">
        <v>0</v>
      </c>
      <c r="C2" s="161" t="s">
        <v>307</v>
      </c>
      <c r="D2" s="161" t="s">
        <v>309</v>
      </c>
      <c r="E2" s="161" t="s">
        <v>301</v>
      </c>
      <c r="F2" s="161" t="s">
        <v>308</v>
      </c>
      <c r="G2" s="161" t="s">
        <v>310</v>
      </c>
      <c r="H2" s="161" t="s">
        <v>303</v>
      </c>
      <c r="I2" s="161" t="s">
        <v>260</v>
      </c>
    </row>
    <row r="3" spans="1:14" x14ac:dyDescent="0.25">
      <c r="A3" s="30">
        <v>1</v>
      </c>
      <c r="B3" s="1" t="s">
        <v>19</v>
      </c>
      <c r="C3" s="120">
        <v>6429.9180000000006</v>
      </c>
      <c r="D3" s="120">
        <v>100</v>
      </c>
      <c r="E3" s="120" t="s">
        <v>5</v>
      </c>
      <c r="F3" s="120">
        <v>1204.0219999999999</v>
      </c>
      <c r="G3" s="120">
        <v>100</v>
      </c>
      <c r="H3" s="120" t="s">
        <v>5</v>
      </c>
      <c r="I3" s="120">
        <f t="shared" ref="I3:I23" si="0">(C3/F3-1)*100</f>
        <v>434.03658737132719</v>
      </c>
      <c r="J3" s="20">
        <v>7704784072</v>
      </c>
    </row>
    <row r="4" spans="1:14" x14ac:dyDescent="0.25">
      <c r="A4" s="30">
        <v>2</v>
      </c>
      <c r="B4" s="1" t="s">
        <v>15</v>
      </c>
      <c r="C4" s="120">
        <v>5295.9979999999996</v>
      </c>
      <c r="D4" s="120">
        <v>28.299999999999997</v>
      </c>
      <c r="E4" s="120">
        <v>22.5</v>
      </c>
      <c r="F4" s="120">
        <v>6844.7260000000006</v>
      </c>
      <c r="G4" s="120">
        <v>26</v>
      </c>
      <c r="H4" s="120">
        <v>31.9</v>
      </c>
      <c r="I4" s="120">
        <f t="shared" si="0"/>
        <v>-22.626588704938676</v>
      </c>
      <c r="J4" s="20">
        <v>7715825027</v>
      </c>
      <c r="M4" s="45"/>
    </row>
    <row r="5" spans="1:14" x14ac:dyDescent="0.25">
      <c r="A5" s="30">
        <v>3</v>
      </c>
      <c r="B5" s="1" t="s">
        <v>33</v>
      </c>
      <c r="C5" s="120">
        <v>5007.4120000000003</v>
      </c>
      <c r="D5" s="120">
        <v>1</v>
      </c>
      <c r="E5" s="120">
        <v>59.059825719979678</v>
      </c>
      <c r="F5" s="120">
        <v>5245.4220000000005</v>
      </c>
      <c r="G5" s="120">
        <v>0</v>
      </c>
      <c r="H5" s="120">
        <v>85</v>
      </c>
      <c r="I5" s="120">
        <f t="shared" si="0"/>
        <v>-4.5374804925132795</v>
      </c>
      <c r="J5" s="20">
        <v>5410059568</v>
      </c>
    </row>
    <row r="6" spans="1:14" x14ac:dyDescent="0.25">
      <c r="A6" s="30">
        <v>4</v>
      </c>
      <c r="B6" s="142" t="s">
        <v>287</v>
      </c>
      <c r="C6" s="120">
        <v>4463.1571110000004</v>
      </c>
      <c r="D6" s="120">
        <v>96.528634165965258</v>
      </c>
      <c r="E6" s="121" t="s">
        <v>5</v>
      </c>
      <c r="F6" s="121">
        <v>2088.6548519999997</v>
      </c>
      <c r="G6" s="121">
        <v>86.229105909900028</v>
      </c>
      <c r="H6" s="120" t="s">
        <v>5</v>
      </c>
      <c r="I6" s="120">
        <f t="shared" si="0"/>
        <v>113.6857177109127</v>
      </c>
      <c r="J6" s="20">
        <v>7838500558</v>
      </c>
      <c r="M6" s="45"/>
      <c r="N6" s="45"/>
    </row>
    <row r="7" spans="1:14" s="45" customFormat="1" x14ac:dyDescent="0.25">
      <c r="A7" s="30">
        <v>5</v>
      </c>
      <c r="B7" s="1" t="s">
        <v>251</v>
      </c>
      <c r="C7" s="120">
        <v>3866.2219999999998</v>
      </c>
      <c r="D7" s="120">
        <v>23</v>
      </c>
      <c r="E7" s="121" t="s">
        <v>5</v>
      </c>
      <c r="F7" s="121">
        <v>4163.9660000000003</v>
      </c>
      <c r="G7" s="121">
        <v>20</v>
      </c>
      <c r="H7" s="120" t="s">
        <v>5</v>
      </c>
      <c r="I7" s="120">
        <f t="shared" si="0"/>
        <v>-7.1504906620275088</v>
      </c>
      <c r="J7" s="20" t="s">
        <v>18</v>
      </c>
    </row>
    <row r="8" spans="1:14" s="45" customFormat="1" x14ac:dyDescent="0.25">
      <c r="A8" s="30">
        <v>6</v>
      </c>
      <c r="B8" s="1" t="s">
        <v>263</v>
      </c>
      <c r="C8" s="120">
        <v>3355.1050000000005</v>
      </c>
      <c r="D8" s="120">
        <v>42.545276556173349</v>
      </c>
      <c r="E8" s="121" t="s">
        <v>5</v>
      </c>
      <c r="F8" s="121">
        <v>1063.3969999999999</v>
      </c>
      <c r="G8" s="121">
        <v>20.704952148633108</v>
      </c>
      <c r="H8" s="120" t="s">
        <v>5</v>
      </c>
      <c r="I8" s="120">
        <f t="shared" si="0"/>
        <v>215.50822505611737</v>
      </c>
      <c r="J8" s="168" t="s">
        <v>289</v>
      </c>
    </row>
    <row r="9" spans="1:14" x14ac:dyDescent="0.25">
      <c r="A9" s="30">
        <v>7</v>
      </c>
      <c r="B9" s="1" t="s">
        <v>213</v>
      </c>
      <c r="C9" s="120">
        <v>2999.2579999999998</v>
      </c>
      <c r="D9" s="120">
        <v>18.839766538169329</v>
      </c>
      <c r="E9" s="121" t="s">
        <v>5</v>
      </c>
      <c r="F9" s="121">
        <v>3060.8139999999999</v>
      </c>
      <c r="G9" s="121">
        <v>32.953095884725769</v>
      </c>
      <c r="H9" s="120" t="s">
        <v>5</v>
      </c>
      <c r="I9" s="120">
        <f t="shared" si="0"/>
        <v>-2.0110990083030189</v>
      </c>
      <c r="J9" s="20" t="s">
        <v>214</v>
      </c>
      <c r="M9" s="45"/>
    </row>
    <row r="10" spans="1:14" x14ac:dyDescent="0.25">
      <c r="A10" s="30">
        <v>8</v>
      </c>
      <c r="B10" s="124" t="s">
        <v>237</v>
      </c>
      <c r="C10" s="120">
        <v>2800.61431477</v>
      </c>
      <c r="D10" s="120">
        <v>100</v>
      </c>
      <c r="E10" s="121">
        <v>4.2625999999999999</v>
      </c>
      <c r="F10" s="121">
        <v>3759.8671869999998</v>
      </c>
      <c r="G10" s="121">
        <v>100</v>
      </c>
      <c r="H10" s="120">
        <v>19.386229167118181</v>
      </c>
      <c r="I10" s="120">
        <f t="shared" si="0"/>
        <v>-25.512945657939269</v>
      </c>
      <c r="J10" s="20">
        <v>7730634468</v>
      </c>
      <c r="M10" s="45"/>
      <c r="N10" s="100"/>
    </row>
    <row r="11" spans="1:14" x14ac:dyDescent="0.25">
      <c r="A11" s="30">
        <v>9</v>
      </c>
      <c r="B11" s="1" t="s">
        <v>211</v>
      </c>
      <c r="C11" s="120">
        <v>2423.6930000000002</v>
      </c>
      <c r="D11" s="120">
        <v>100</v>
      </c>
      <c r="E11" s="121">
        <v>10</v>
      </c>
      <c r="F11" s="121">
        <v>1570.126</v>
      </c>
      <c r="G11" s="121">
        <v>100</v>
      </c>
      <c r="H11" s="120">
        <v>17</v>
      </c>
      <c r="I11" s="120">
        <f t="shared" si="0"/>
        <v>54.362961953371915</v>
      </c>
      <c r="J11" s="20">
        <v>7716748537</v>
      </c>
    </row>
    <row r="12" spans="1:14" x14ac:dyDescent="0.25">
      <c r="A12" s="30">
        <v>10</v>
      </c>
      <c r="B12" s="1" t="s">
        <v>235</v>
      </c>
      <c r="C12" s="120">
        <v>1781.7939999999999</v>
      </c>
      <c r="D12" s="120">
        <v>100</v>
      </c>
      <c r="E12" s="121">
        <v>14.540000000000001</v>
      </c>
      <c r="F12" s="121">
        <v>1427.2380000000001</v>
      </c>
      <c r="G12" s="121">
        <v>100</v>
      </c>
      <c r="H12" s="120">
        <v>1.1000000000000001</v>
      </c>
      <c r="I12" s="120">
        <f t="shared" si="0"/>
        <v>24.842107623255536</v>
      </c>
      <c r="J12" s="20" t="s">
        <v>111</v>
      </c>
    </row>
    <row r="13" spans="1:14" x14ac:dyDescent="0.25">
      <c r="A13" s="30">
        <v>11</v>
      </c>
      <c r="B13" s="1" t="s">
        <v>296</v>
      </c>
      <c r="C13" s="120">
        <v>1483.9349999999999</v>
      </c>
      <c r="D13" s="120">
        <v>73.92</v>
      </c>
      <c r="E13" s="121">
        <v>28.4</v>
      </c>
      <c r="F13" s="121">
        <v>2219.6674499999999</v>
      </c>
      <c r="G13" s="121">
        <v>33.950333613877397</v>
      </c>
      <c r="H13" s="120">
        <v>41</v>
      </c>
      <c r="I13" s="120">
        <f t="shared" si="0"/>
        <v>-33.146066542535458</v>
      </c>
      <c r="J13" s="20" t="s">
        <v>12</v>
      </c>
    </row>
    <row r="14" spans="1:14" x14ac:dyDescent="0.25">
      <c r="A14" s="30">
        <v>12</v>
      </c>
      <c r="B14" s="124" t="s">
        <v>24</v>
      </c>
      <c r="C14" s="120">
        <v>1102.7529999999999</v>
      </c>
      <c r="D14" s="120" t="s">
        <v>5</v>
      </c>
      <c r="E14" s="121" t="s">
        <v>5</v>
      </c>
      <c r="F14" s="121">
        <v>926.00199999999995</v>
      </c>
      <c r="G14" s="121" t="s">
        <v>5</v>
      </c>
      <c r="H14" s="120" t="s">
        <v>5</v>
      </c>
      <c r="I14" s="120">
        <f t="shared" si="0"/>
        <v>19.087539767732675</v>
      </c>
      <c r="J14" s="20">
        <v>5407487242</v>
      </c>
    </row>
    <row r="15" spans="1:14" x14ac:dyDescent="0.25">
      <c r="A15" s="30">
        <v>13</v>
      </c>
      <c r="B15" s="124" t="s">
        <v>10</v>
      </c>
      <c r="C15" s="120">
        <v>885.49299999999994</v>
      </c>
      <c r="D15" s="120">
        <v>0</v>
      </c>
      <c r="E15" s="121">
        <v>8</v>
      </c>
      <c r="F15" s="121">
        <v>405.54399999999998</v>
      </c>
      <c r="G15" s="121">
        <v>0</v>
      </c>
      <c r="H15" s="120">
        <v>13</v>
      </c>
      <c r="I15" s="120">
        <f t="shared" si="0"/>
        <v>118.34696111889214</v>
      </c>
      <c r="J15" s="20">
        <v>5260271530</v>
      </c>
      <c r="M15" s="45"/>
    </row>
    <row r="16" spans="1:14" x14ac:dyDescent="0.25">
      <c r="A16" s="30">
        <v>14</v>
      </c>
      <c r="B16" s="1" t="s">
        <v>262</v>
      </c>
      <c r="C16" s="120">
        <v>462.92700000000002</v>
      </c>
      <c r="D16" s="120">
        <v>39.630000000000003</v>
      </c>
      <c r="E16" s="121">
        <v>54.1</v>
      </c>
      <c r="F16" s="121">
        <v>246.86199999999999</v>
      </c>
      <c r="G16" s="121">
        <v>39</v>
      </c>
      <c r="H16" s="120">
        <v>16.61</v>
      </c>
      <c r="I16" s="120">
        <f t="shared" si="0"/>
        <v>87.524608890797296</v>
      </c>
      <c r="J16" s="20">
        <v>4205219217</v>
      </c>
      <c r="M16" s="45"/>
    </row>
    <row r="17" spans="1:14" s="45" customFormat="1" x14ac:dyDescent="0.25">
      <c r="A17" s="30">
        <v>15</v>
      </c>
      <c r="B17" s="124" t="s">
        <v>224</v>
      </c>
      <c r="C17" s="120">
        <v>393.41800000000001</v>
      </c>
      <c r="D17" s="120" t="s">
        <v>5</v>
      </c>
      <c r="E17" s="121">
        <v>15.8</v>
      </c>
      <c r="F17" s="121">
        <v>463.952</v>
      </c>
      <c r="G17" s="121" t="s">
        <v>5</v>
      </c>
      <c r="H17" s="120">
        <v>22.05</v>
      </c>
      <c r="I17" s="120">
        <f t="shared" si="0"/>
        <v>-15.202865813704868</v>
      </c>
      <c r="J17" s="20">
        <v>7838492459</v>
      </c>
    </row>
    <row r="18" spans="1:14" s="45" customFormat="1" x14ac:dyDescent="0.25">
      <c r="A18" s="30">
        <v>16</v>
      </c>
      <c r="B18" s="124" t="s">
        <v>11</v>
      </c>
      <c r="C18" s="120">
        <v>358.964</v>
      </c>
      <c r="D18" s="120">
        <v>53</v>
      </c>
      <c r="E18" s="121" t="s">
        <v>5</v>
      </c>
      <c r="F18" s="121">
        <v>172.8</v>
      </c>
      <c r="G18" s="121">
        <v>64</v>
      </c>
      <c r="H18" s="120" t="s">
        <v>5</v>
      </c>
      <c r="I18" s="120">
        <f t="shared" si="0"/>
        <v>107.73379629629628</v>
      </c>
      <c r="J18" s="20">
        <v>5407264020</v>
      </c>
    </row>
    <row r="19" spans="1:14" s="45" customFormat="1" x14ac:dyDescent="0.25">
      <c r="A19" s="30">
        <v>17</v>
      </c>
      <c r="B19" s="1" t="s">
        <v>22</v>
      </c>
      <c r="C19" s="120">
        <v>326.68799999999999</v>
      </c>
      <c r="D19" s="120">
        <v>0</v>
      </c>
      <c r="E19" s="121">
        <v>34</v>
      </c>
      <c r="F19" s="121">
        <v>208.68299999999999</v>
      </c>
      <c r="G19" s="121">
        <v>0</v>
      </c>
      <c r="H19" s="120">
        <v>34</v>
      </c>
      <c r="I19" s="120">
        <f t="shared" si="0"/>
        <v>56.547490691623167</v>
      </c>
      <c r="J19" s="20">
        <v>1831178411</v>
      </c>
    </row>
    <row r="20" spans="1:14" s="45" customFormat="1" x14ac:dyDescent="0.25">
      <c r="A20" s="30">
        <v>18</v>
      </c>
      <c r="B20" s="166" t="s">
        <v>286</v>
      </c>
      <c r="C20" s="120">
        <v>301.34300000000002</v>
      </c>
      <c r="D20" s="120">
        <v>100</v>
      </c>
      <c r="E20" s="121" t="s">
        <v>5</v>
      </c>
      <c r="F20" s="121">
        <v>5.6390000000000002</v>
      </c>
      <c r="G20" s="121">
        <v>100</v>
      </c>
      <c r="H20" s="120" t="s">
        <v>5</v>
      </c>
      <c r="I20" s="120">
        <f t="shared" si="0"/>
        <v>5243.9084944139031</v>
      </c>
      <c r="J20" s="20">
        <v>7704493556</v>
      </c>
      <c r="N20" s="100"/>
    </row>
    <row r="21" spans="1:14" x14ac:dyDescent="0.25">
      <c r="A21" s="30">
        <v>19</v>
      </c>
      <c r="B21" s="124" t="s">
        <v>8</v>
      </c>
      <c r="C21" s="120">
        <v>139.65800000000002</v>
      </c>
      <c r="D21" s="120">
        <v>1</v>
      </c>
      <c r="E21" s="121">
        <v>14.608106380258279</v>
      </c>
      <c r="F21" s="121">
        <v>99.115000000000009</v>
      </c>
      <c r="G21" s="121">
        <v>1</v>
      </c>
      <c r="H21" s="120">
        <v>8</v>
      </c>
      <c r="I21" s="120">
        <f t="shared" si="0"/>
        <v>40.905009332593444</v>
      </c>
      <c r="J21" s="20">
        <v>4205271785</v>
      </c>
      <c r="M21" s="45"/>
    </row>
    <row r="22" spans="1:14" x14ac:dyDescent="0.25">
      <c r="A22" s="30">
        <v>20</v>
      </c>
      <c r="B22" s="124" t="s">
        <v>220</v>
      </c>
      <c r="C22" s="120">
        <v>82.346000000000004</v>
      </c>
      <c r="D22" s="120">
        <v>7.0000000000000009</v>
      </c>
      <c r="E22" s="121">
        <v>0</v>
      </c>
      <c r="F22" s="121">
        <v>204.49600000000001</v>
      </c>
      <c r="G22" s="121">
        <v>0</v>
      </c>
      <c r="H22" s="120">
        <v>0</v>
      </c>
      <c r="I22" s="120">
        <f t="shared" si="0"/>
        <v>-59.732219701118851</v>
      </c>
      <c r="J22" s="20">
        <v>7705974076</v>
      </c>
    </row>
    <row r="23" spans="1:14" x14ac:dyDescent="0.25">
      <c r="A23" s="30">
        <v>21</v>
      </c>
      <c r="B23" s="124" t="s">
        <v>283</v>
      </c>
      <c r="C23" s="120">
        <v>1.31</v>
      </c>
      <c r="D23" s="120">
        <v>0</v>
      </c>
      <c r="E23" s="121" t="s">
        <v>5</v>
      </c>
      <c r="F23" s="121">
        <v>26.008000000000003</v>
      </c>
      <c r="G23" s="121">
        <v>7.0000000000000009</v>
      </c>
      <c r="H23" s="120" t="s">
        <v>5</v>
      </c>
      <c r="I23" s="120">
        <f t="shared" si="0"/>
        <v>-94.963088280529078</v>
      </c>
      <c r="J23" s="20">
        <v>2465260220</v>
      </c>
      <c r="N23" s="45"/>
    </row>
    <row r="24" spans="1:14" x14ac:dyDescent="0.25">
      <c r="A24" s="146"/>
      <c r="E24" s="139"/>
      <c r="F24" s="139"/>
      <c r="G24" s="139"/>
      <c r="J24" s="146"/>
    </row>
    <row r="25" spans="1:14" x14ac:dyDescent="0.25">
      <c r="A25" s="146"/>
      <c r="B25" s="113"/>
      <c r="C25" s="147"/>
      <c r="D25" s="147"/>
      <c r="E25" s="147"/>
      <c r="F25" s="147"/>
      <c r="G25" s="147"/>
      <c r="H25" s="147"/>
      <c r="I25" s="147"/>
      <c r="J25" s="146"/>
    </row>
    <row r="26" spans="1:14" x14ac:dyDescent="0.25">
      <c r="A26" s="146"/>
      <c r="B26" s="113"/>
      <c r="C26" s="147"/>
      <c r="D26" s="147"/>
      <c r="E26" s="147"/>
      <c r="F26" s="147"/>
      <c r="G26" s="147"/>
      <c r="H26" s="147"/>
      <c r="I26" s="147"/>
      <c r="J26" s="146"/>
    </row>
    <row r="27" spans="1:14" x14ac:dyDescent="0.25">
      <c r="A27" s="146"/>
      <c r="B27" s="113"/>
      <c r="C27" s="147"/>
      <c r="D27" s="147"/>
      <c r="E27" s="147"/>
      <c r="F27" s="147"/>
      <c r="G27" s="147"/>
      <c r="H27" s="147"/>
      <c r="I27" s="147"/>
      <c r="J27" s="146"/>
    </row>
    <row r="28" spans="1:14" x14ac:dyDescent="0.25">
      <c r="A28" s="146"/>
      <c r="B28" s="113"/>
      <c r="C28" s="147"/>
      <c r="D28" s="147"/>
      <c r="E28" s="147"/>
      <c r="F28" s="147"/>
      <c r="G28" s="147"/>
      <c r="H28" s="147"/>
      <c r="I28" s="147"/>
      <c r="J28" s="146"/>
    </row>
  </sheetData>
  <autoFilter ref="A2:N2" xr:uid="{038FF95F-153F-4425-B174-C1081E6B8BD7}">
    <sortState xmlns:xlrd2="http://schemas.microsoft.com/office/spreadsheetml/2017/richdata2" ref="A3:N23">
      <sortCondition descending="1" ref="C2"/>
    </sortState>
  </autoFilter>
  <sortState xmlns:xlrd2="http://schemas.microsoft.com/office/spreadsheetml/2017/richdata2" ref="A3:J22">
    <sortCondition descending="1" ref="C3:C22"/>
  </sortState>
  <pageMargins left="0.7" right="0.7" top="0.75" bottom="0.75" header="0.3" footer="0.3"/>
  <pageSetup paperSize="9" orientation="portrait" horizontalDpi="4294967294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F1FD9-4262-4401-A3D3-259CC82DB15E}">
  <sheetPr codeName="Лист7"/>
  <dimension ref="A1:F31"/>
  <sheetViews>
    <sheetView workbookViewId="0">
      <selection activeCell="B25" sqref="B25:F25"/>
    </sheetView>
  </sheetViews>
  <sheetFormatPr defaultRowHeight="15" x14ac:dyDescent="0.25"/>
  <cols>
    <col min="2" max="2" width="24.85546875" style="36" customWidth="1"/>
    <col min="3" max="3" width="18.85546875" customWidth="1"/>
    <col min="4" max="4" width="16.7109375" bestFit="1" customWidth="1"/>
    <col min="5" max="5" width="17.7109375" customWidth="1"/>
    <col min="6" max="6" width="16.85546875" style="3" customWidth="1"/>
  </cols>
  <sheetData>
    <row r="1" spans="1:6" x14ac:dyDescent="0.25">
      <c r="A1" s="33"/>
      <c r="B1" s="35"/>
      <c r="C1" s="34" t="s">
        <v>140</v>
      </c>
      <c r="D1" s="34" t="s">
        <v>141</v>
      </c>
      <c r="E1" s="34" t="s">
        <v>142</v>
      </c>
    </row>
    <row r="2" spans="1:6" x14ac:dyDescent="0.25">
      <c r="C2" t="s">
        <v>97</v>
      </c>
      <c r="E2" t="s">
        <v>96</v>
      </c>
      <c r="F2" s="3" t="s">
        <v>104</v>
      </c>
    </row>
    <row r="3" spans="1:6" x14ac:dyDescent="0.25">
      <c r="A3">
        <v>1</v>
      </c>
      <c r="B3" s="37" t="s">
        <v>15</v>
      </c>
      <c r="C3" s="46" t="e">
        <f>HLOOKUP(B3,#REF!,49,FALSE)/1000</f>
        <v>#REF!</v>
      </c>
      <c r="D3" s="46" t="e">
        <f>HLOOKUP(B3,#REF!,50,FALSE)/1000-HLOOKUP(B3,#REF!,49,FALSE)/1000</f>
        <v>#REF!</v>
      </c>
      <c r="E3" s="46" t="e">
        <f>HLOOKUP(B3,#REF!,51,FALSE)/1000</f>
        <v>#REF!</v>
      </c>
      <c r="F3" s="3" t="e">
        <f t="shared" ref="F3:F23" si="0">(E3/C3-1)*100</f>
        <v>#REF!</v>
      </c>
    </row>
    <row r="4" spans="1:6" x14ac:dyDescent="0.25">
      <c r="A4" s="45">
        <v>2</v>
      </c>
      <c r="B4" s="37" t="s">
        <v>33</v>
      </c>
      <c r="C4" s="46" t="e">
        <f>HLOOKUP(B4,#REF!,49,FALSE)/1000</f>
        <v>#REF!</v>
      </c>
      <c r="D4" s="46" t="e">
        <f>HLOOKUP(B4,#REF!,50,FALSE)/1000-HLOOKUP(B4,#REF!,49,FALSE)/1000</f>
        <v>#REF!</v>
      </c>
      <c r="E4" s="46" t="e">
        <f>HLOOKUP(B4,#REF!,51,FALSE)/1000</f>
        <v>#REF!</v>
      </c>
      <c r="F4" s="3" t="e">
        <f t="shared" si="0"/>
        <v>#REF!</v>
      </c>
    </row>
    <row r="5" spans="1:6" x14ac:dyDescent="0.25">
      <c r="A5" s="45">
        <v>3</v>
      </c>
      <c r="B5" s="37" t="s">
        <v>87</v>
      </c>
      <c r="C5" s="46" t="e">
        <f>HLOOKUP(B5,#REF!,49,FALSE)/1000</f>
        <v>#REF!</v>
      </c>
      <c r="D5" s="46" t="e">
        <f>HLOOKUP(B5,#REF!,50,FALSE)/1000-HLOOKUP(B5,#REF!,49,FALSE)/1000</f>
        <v>#REF!</v>
      </c>
      <c r="E5" s="46" t="e">
        <f>HLOOKUP(B5,#REF!,51,FALSE)/1000</f>
        <v>#REF!</v>
      </c>
      <c r="F5" s="3" t="e">
        <f t="shared" si="0"/>
        <v>#REF!</v>
      </c>
    </row>
    <row r="6" spans="1:6" x14ac:dyDescent="0.25">
      <c r="A6" s="45">
        <v>4</v>
      </c>
      <c r="B6" s="37" t="s">
        <v>31</v>
      </c>
      <c r="C6" s="46" t="e">
        <f>HLOOKUP(B6,#REF!,49,FALSE)/1000</f>
        <v>#REF!</v>
      </c>
      <c r="D6" s="46" t="e">
        <f>HLOOKUP(B6,#REF!,50,FALSE)/1000-HLOOKUP(B6,#REF!,49,FALSE)/1000</f>
        <v>#REF!</v>
      </c>
      <c r="E6" s="46" t="e">
        <f>HLOOKUP(B6,#REF!,51,FALSE)/1000</f>
        <v>#REF!</v>
      </c>
      <c r="F6" s="3" t="e">
        <f t="shared" si="0"/>
        <v>#REF!</v>
      </c>
    </row>
    <row r="7" spans="1:6" x14ac:dyDescent="0.25">
      <c r="A7" s="45">
        <v>5</v>
      </c>
      <c r="B7" s="37" t="s">
        <v>45</v>
      </c>
      <c r="C7" s="46" t="e">
        <f>HLOOKUP(B7,#REF!,49,FALSE)/1000</f>
        <v>#REF!</v>
      </c>
      <c r="D7" s="46" t="e">
        <f>HLOOKUP(B7,#REF!,50,FALSE)/1000-HLOOKUP(B7,#REF!,49,FALSE)/1000</f>
        <v>#REF!</v>
      </c>
      <c r="E7" s="46" t="e">
        <f>HLOOKUP(B7,#REF!,51,FALSE)/1000</f>
        <v>#REF!</v>
      </c>
      <c r="F7" s="3" t="e">
        <f t="shared" si="0"/>
        <v>#REF!</v>
      </c>
    </row>
    <row r="8" spans="1:6" x14ac:dyDescent="0.25">
      <c r="A8" s="45">
        <v>6</v>
      </c>
      <c r="B8" s="37" t="s">
        <v>32</v>
      </c>
      <c r="C8" s="46" t="e">
        <f>HLOOKUP(B8,#REF!,49,FALSE)/1000</f>
        <v>#REF!</v>
      </c>
      <c r="D8" s="46" t="e">
        <f>HLOOKUP(B8,#REF!,50,FALSE)/1000-HLOOKUP(B8,#REF!,49,FALSE)/1000</f>
        <v>#REF!</v>
      </c>
      <c r="E8" s="46" t="e">
        <f>HLOOKUP(B8,#REF!,51,FALSE)/1000</f>
        <v>#REF!</v>
      </c>
      <c r="F8" s="3" t="e">
        <f t="shared" si="0"/>
        <v>#REF!</v>
      </c>
    </row>
    <row r="9" spans="1:6" x14ac:dyDescent="0.25">
      <c r="A9" s="45">
        <v>7</v>
      </c>
      <c r="B9" s="37" t="s">
        <v>46</v>
      </c>
      <c r="C9" s="46" t="e">
        <f>HLOOKUP(B9,#REF!,49,FALSE)/1000</f>
        <v>#REF!</v>
      </c>
      <c r="D9" s="46" t="e">
        <f>HLOOKUP(B9,#REF!,50,FALSE)/1000-HLOOKUP(B9,#REF!,49,FALSE)/1000</f>
        <v>#REF!</v>
      </c>
      <c r="E9" s="46" t="e">
        <f>HLOOKUP(B9,#REF!,51,FALSE)/1000</f>
        <v>#REF!</v>
      </c>
      <c r="F9" s="3" t="e">
        <f t="shared" si="0"/>
        <v>#REF!</v>
      </c>
    </row>
    <row r="10" spans="1:6" x14ac:dyDescent="0.25">
      <c r="A10" s="45">
        <v>8</v>
      </c>
      <c r="B10" s="37" t="s">
        <v>39</v>
      </c>
      <c r="C10" s="46" t="e">
        <f>HLOOKUP(B10,#REF!,49,FALSE)/1000</f>
        <v>#REF!</v>
      </c>
      <c r="D10" s="46" t="e">
        <f>HLOOKUP(B10,#REF!,50,FALSE)/1000-HLOOKUP(B10,#REF!,49,FALSE)/1000</f>
        <v>#REF!</v>
      </c>
      <c r="E10" s="46" t="e">
        <f>HLOOKUP(B10,#REF!,51,FALSE)/1000</f>
        <v>#REF!</v>
      </c>
      <c r="F10" s="3" t="e">
        <f t="shared" si="0"/>
        <v>#REF!</v>
      </c>
    </row>
    <row r="11" spans="1:6" x14ac:dyDescent="0.25">
      <c r="A11" s="45">
        <v>9</v>
      </c>
      <c r="B11" s="36" t="s">
        <v>14</v>
      </c>
      <c r="C11" s="46" t="e">
        <f>HLOOKUP(B11,#REF!,49,FALSE)/1000</f>
        <v>#REF!</v>
      </c>
      <c r="D11" s="46" t="e">
        <f>HLOOKUP(B11,#REF!,50,FALSE)/1000-HLOOKUP(B11,#REF!,49,FALSE)/1000</f>
        <v>#REF!</v>
      </c>
      <c r="E11" s="46" t="e">
        <f>HLOOKUP(B11,#REF!,51,FALSE)/1000</f>
        <v>#REF!</v>
      </c>
      <c r="F11" s="3" t="e">
        <f t="shared" si="0"/>
        <v>#REF!</v>
      </c>
    </row>
    <row r="12" spans="1:6" x14ac:dyDescent="0.25">
      <c r="A12" s="45">
        <v>10</v>
      </c>
      <c r="B12" s="37" t="s">
        <v>41</v>
      </c>
      <c r="C12" s="46" t="e">
        <f>HLOOKUP(B12,#REF!,49,FALSE)/1000</f>
        <v>#REF!</v>
      </c>
      <c r="D12" s="46" t="e">
        <f>HLOOKUP(B12,#REF!,50,FALSE)/1000-HLOOKUP(B12,#REF!,49,FALSE)/1000</f>
        <v>#REF!</v>
      </c>
      <c r="E12" s="46" t="e">
        <f>HLOOKUP(B12,#REF!,51,FALSE)/1000</f>
        <v>#REF!</v>
      </c>
      <c r="F12" s="3" t="e">
        <f t="shared" si="0"/>
        <v>#REF!</v>
      </c>
    </row>
    <row r="13" spans="1:6" x14ac:dyDescent="0.25">
      <c r="A13" s="45">
        <v>11</v>
      </c>
      <c r="B13" s="37" t="s">
        <v>24</v>
      </c>
      <c r="C13" s="46" t="e">
        <f>HLOOKUP(B13,#REF!,49,FALSE)/1000</f>
        <v>#REF!</v>
      </c>
      <c r="D13" s="46" t="e">
        <f>HLOOKUP(B13,#REF!,50,FALSE)/1000-HLOOKUP(B13,#REF!,49,FALSE)/1000</f>
        <v>#REF!</v>
      </c>
      <c r="E13" s="46" t="e">
        <f>HLOOKUP(B13,#REF!,51,FALSE)/1000</f>
        <v>#REF!</v>
      </c>
      <c r="F13" s="3" t="e">
        <f t="shared" si="0"/>
        <v>#REF!</v>
      </c>
    </row>
    <row r="14" spans="1:6" x14ac:dyDescent="0.25">
      <c r="A14" s="45">
        <v>12</v>
      </c>
      <c r="B14" s="37" t="s">
        <v>25</v>
      </c>
      <c r="C14" s="46" t="e">
        <f>HLOOKUP(B14,#REF!,49,FALSE)/1000</f>
        <v>#REF!</v>
      </c>
      <c r="D14" s="46" t="e">
        <f>HLOOKUP(B14,#REF!,50,FALSE)/1000-HLOOKUP(B14,#REF!,49,FALSE)/1000</f>
        <v>#REF!</v>
      </c>
      <c r="E14" s="46" t="e">
        <f>HLOOKUP(B14,#REF!,51,FALSE)/1000</f>
        <v>#REF!</v>
      </c>
      <c r="F14" s="3" t="e">
        <f t="shared" si="0"/>
        <v>#REF!</v>
      </c>
    </row>
    <row r="15" spans="1:6" x14ac:dyDescent="0.25">
      <c r="A15" s="45">
        <v>13</v>
      </c>
      <c r="B15" s="37" t="s">
        <v>35</v>
      </c>
      <c r="C15" s="46" t="e">
        <f>HLOOKUP(B15,#REF!,49,FALSE)/1000</f>
        <v>#REF!</v>
      </c>
      <c r="D15" s="46" t="e">
        <f>HLOOKUP(B15,#REF!,50,FALSE)/1000-HLOOKUP(B15,#REF!,49,FALSE)/1000</f>
        <v>#REF!</v>
      </c>
      <c r="E15" s="46" t="e">
        <f>HLOOKUP(B15,#REF!,51,FALSE)/1000</f>
        <v>#REF!</v>
      </c>
      <c r="F15" s="3" t="e">
        <f t="shared" si="0"/>
        <v>#REF!</v>
      </c>
    </row>
    <row r="16" spans="1:6" x14ac:dyDescent="0.25">
      <c r="A16" s="45">
        <v>14</v>
      </c>
      <c r="B16" s="37" t="s">
        <v>44</v>
      </c>
      <c r="C16" s="46" t="e">
        <f>HLOOKUP(B16,#REF!,49,FALSE)/1000</f>
        <v>#REF!</v>
      </c>
      <c r="D16" s="46" t="e">
        <f>HLOOKUP(B16,#REF!,50,FALSE)/1000-HLOOKUP(B16,#REF!,49,FALSE)/1000</f>
        <v>#REF!</v>
      </c>
      <c r="E16" s="46" t="e">
        <f>HLOOKUP(B16,#REF!,51,FALSE)/1000</f>
        <v>#REF!</v>
      </c>
      <c r="F16" s="3" t="e">
        <f t="shared" si="0"/>
        <v>#REF!</v>
      </c>
    </row>
    <row r="17" spans="1:6" x14ac:dyDescent="0.25">
      <c r="A17" s="45">
        <v>15</v>
      </c>
      <c r="B17" s="37" t="s">
        <v>47</v>
      </c>
      <c r="C17" s="46" t="e">
        <f>HLOOKUP(B17,#REF!,49,FALSE)/1000</f>
        <v>#REF!</v>
      </c>
      <c r="D17" s="46" t="e">
        <f>HLOOKUP(B17,#REF!,50,FALSE)/1000-HLOOKUP(B17,#REF!,49,FALSE)/1000</f>
        <v>#REF!</v>
      </c>
      <c r="E17" s="46" t="e">
        <f>HLOOKUP(B17,#REF!,51,FALSE)/1000</f>
        <v>#REF!</v>
      </c>
      <c r="F17" s="3" t="e">
        <f t="shared" si="0"/>
        <v>#REF!</v>
      </c>
    </row>
    <row r="18" spans="1:6" x14ac:dyDescent="0.25">
      <c r="A18" s="45">
        <v>16</v>
      </c>
      <c r="B18" s="37" t="s">
        <v>13</v>
      </c>
      <c r="C18" s="46" t="e">
        <f>HLOOKUP(B18,#REF!,49,FALSE)/1000</f>
        <v>#REF!</v>
      </c>
      <c r="D18" s="46" t="e">
        <f>HLOOKUP(B18,#REF!,50,FALSE)/1000-HLOOKUP(B18,#REF!,49,FALSE)/1000</f>
        <v>#REF!</v>
      </c>
      <c r="E18" s="46" t="e">
        <f>HLOOKUP(B18,#REF!,51,FALSE)/1000</f>
        <v>#REF!</v>
      </c>
      <c r="F18" s="3" t="e">
        <f t="shared" si="0"/>
        <v>#REF!</v>
      </c>
    </row>
    <row r="19" spans="1:6" x14ac:dyDescent="0.25">
      <c r="A19" s="45">
        <v>17</v>
      </c>
      <c r="B19" s="37" t="s">
        <v>8</v>
      </c>
      <c r="C19" s="46" t="e">
        <f>HLOOKUP(B19,#REF!,49,FALSE)/1000</f>
        <v>#REF!</v>
      </c>
      <c r="D19" s="46" t="e">
        <f>HLOOKUP(B19,#REF!,50,FALSE)/1000-HLOOKUP(B19,#REF!,49,FALSE)/1000</f>
        <v>#REF!</v>
      </c>
      <c r="E19" s="46" t="e">
        <f>HLOOKUP(B19,#REF!,51,FALSE)/1000</f>
        <v>#REF!</v>
      </c>
      <c r="F19" s="3" t="e">
        <f t="shared" si="0"/>
        <v>#REF!</v>
      </c>
    </row>
    <row r="20" spans="1:6" x14ac:dyDescent="0.25">
      <c r="A20" s="45">
        <v>18</v>
      </c>
      <c r="B20" s="37" t="s">
        <v>37</v>
      </c>
      <c r="C20" s="46" t="e">
        <f>HLOOKUP(B20,#REF!,49,FALSE)/1000</f>
        <v>#REF!</v>
      </c>
      <c r="D20" s="46" t="e">
        <f>HLOOKUP(B20,#REF!,50,FALSE)/1000-HLOOKUP(B20,#REF!,49,FALSE)/1000</f>
        <v>#REF!</v>
      </c>
      <c r="E20" s="46" t="e">
        <f>HLOOKUP(B20,#REF!,51,FALSE)/1000</f>
        <v>#REF!</v>
      </c>
      <c r="F20" s="3" t="e">
        <f t="shared" si="0"/>
        <v>#REF!</v>
      </c>
    </row>
    <row r="21" spans="1:6" x14ac:dyDescent="0.25">
      <c r="A21" s="45">
        <v>19</v>
      </c>
      <c r="B21" s="37" t="s">
        <v>22</v>
      </c>
      <c r="C21" s="46" t="e">
        <f>HLOOKUP(B21,#REF!,49,FALSE)/1000</f>
        <v>#REF!</v>
      </c>
      <c r="D21" s="46" t="e">
        <f>HLOOKUP(B21,#REF!,50,FALSE)/1000-HLOOKUP(B21,#REF!,49,FALSE)/1000</f>
        <v>#REF!</v>
      </c>
      <c r="E21" s="46" t="e">
        <f>HLOOKUP(B21,#REF!,51,FALSE)/1000</f>
        <v>#REF!</v>
      </c>
      <c r="F21" s="3" t="e">
        <f t="shared" si="0"/>
        <v>#REF!</v>
      </c>
    </row>
    <row r="22" spans="1:6" x14ac:dyDescent="0.25">
      <c r="A22" s="45">
        <v>20</v>
      </c>
      <c r="B22" s="37" t="s">
        <v>11</v>
      </c>
      <c r="C22" s="46" t="e">
        <f>HLOOKUP(B22,#REF!,49,FALSE)/1000</f>
        <v>#REF!</v>
      </c>
      <c r="D22" s="46" t="e">
        <f>HLOOKUP(B22,#REF!,50,FALSE)/1000-HLOOKUP(B22,#REF!,49,FALSE)/1000</f>
        <v>#REF!</v>
      </c>
      <c r="E22" s="46" t="e">
        <f>HLOOKUP(B22,#REF!,51,FALSE)/1000</f>
        <v>#REF!</v>
      </c>
      <c r="F22" s="3" t="e">
        <f t="shared" si="0"/>
        <v>#REF!</v>
      </c>
    </row>
    <row r="23" spans="1:6" x14ac:dyDescent="0.25">
      <c r="A23" s="45">
        <v>21</v>
      </c>
      <c r="B23" s="37" t="s">
        <v>17</v>
      </c>
      <c r="C23" s="46" t="e">
        <f>HLOOKUP(B23,#REF!,49,FALSE)/1000</f>
        <v>#REF!</v>
      </c>
      <c r="D23" s="46" t="e">
        <f>HLOOKUP(B23,#REF!,50,FALSE)/1000-HLOOKUP(B23,#REF!,49,FALSE)/1000</f>
        <v>#REF!</v>
      </c>
      <c r="E23" s="46" t="e">
        <f>HLOOKUP(B23,#REF!,51,FALSE)/1000</f>
        <v>#REF!</v>
      </c>
      <c r="F23" s="3" t="e">
        <f t="shared" si="0"/>
        <v>#REF!</v>
      </c>
    </row>
    <row r="24" spans="1:6" x14ac:dyDescent="0.25">
      <c r="A24" s="45">
        <v>22</v>
      </c>
      <c r="B24" s="36" t="s">
        <v>10</v>
      </c>
      <c r="C24" s="46" t="e">
        <f>HLOOKUP(B24,#REF!,49,FALSE)/1000</f>
        <v>#REF!</v>
      </c>
      <c r="D24" s="46" t="e">
        <f>HLOOKUP(B24,#REF!,50,FALSE)/1000-HLOOKUP(B24,#REF!,49,FALSE)/1000</f>
        <v>#REF!</v>
      </c>
      <c r="E24" s="46" t="e">
        <f>HLOOKUP(B24,#REF!,51,FALSE)/1000</f>
        <v>#REF!</v>
      </c>
      <c r="F24" s="3" t="e">
        <f t="shared" ref="F24" si="1">(E24/C24-1)*100</f>
        <v>#REF!</v>
      </c>
    </row>
    <row r="25" spans="1:6" s="45" customFormat="1" x14ac:dyDescent="0.25">
      <c r="B25" s="36" t="s">
        <v>228</v>
      </c>
      <c r="C25" s="46" t="e">
        <f>HLOOKUP(B25,#REF!,49,FALSE)/1000</f>
        <v>#REF!</v>
      </c>
      <c r="D25" s="46" t="e">
        <f>HLOOKUP(B25,#REF!,50,FALSE)/1000-HLOOKUP(B25,#REF!,49,FALSE)/1000</f>
        <v>#REF!</v>
      </c>
      <c r="E25" s="46" t="e">
        <f>HLOOKUP(B25,#REF!,51,FALSE)/1000</f>
        <v>#REF!</v>
      </c>
      <c r="F25" s="3" t="e">
        <f t="shared" ref="F25" si="2">(E25/C25-1)*100</f>
        <v>#REF!</v>
      </c>
    </row>
    <row r="26" spans="1:6" x14ac:dyDescent="0.25">
      <c r="B26" s="36" t="s">
        <v>137</v>
      </c>
      <c r="C26" s="46" t="e">
        <f>SUM(C3:C25)</f>
        <v>#REF!</v>
      </c>
      <c r="D26" s="46" t="e">
        <f>SUM(D3:D25)</f>
        <v>#REF!</v>
      </c>
      <c r="E26" s="46" t="e">
        <f>SUM(E3:E25)</f>
        <v>#REF!</v>
      </c>
    </row>
    <row r="27" spans="1:6" x14ac:dyDescent="0.25">
      <c r="D27" t="e">
        <f>D26/C26-1</f>
        <v>#REF!</v>
      </c>
      <c r="E27" s="45" t="e">
        <f>E26/D26-1</f>
        <v>#REF!</v>
      </c>
    </row>
    <row r="29" spans="1:6" x14ac:dyDescent="0.25">
      <c r="B29" s="3" t="s">
        <v>143</v>
      </c>
      <c r="C29" s="82" t="e">
        <f>C26/ТБ2!C75</f>
        <v>#REF!</v>
      </c>
      <c r="D29" s="82" t="e">
        <f>D26/ТБ2!F75</f>
        <v>#REF!</v>
      </c>
      <c r="E29" s="82" t="e">
        <f>E26/ТБ2!I75</f>
        <v>#REF!</v>
      </c>
    </row>
    <row r="30" spans="1:6" x14ac:dyDescent="0.25">
      <c r="C30" s="82"/>
      <c r="D30" s="82"/>
      <c r="E30" s="82" t="e">
        <f>E29-D29</f>
        <v>#REF!</v>
      </c>
    </row>
    <row r="31" spans="1:6" x14ac:dyDescent="0.25">
      <c r="B31" s="36" t="s">
        <v>167</v>
      </c>
      <c r="D31" s="21" t="e">
        <f>D26/C26-1</f>
        <v>#REF!</v>
      </c>
      <c r="E31" s="21" t="e">
        <f>E26/D26-1</f>
        <v>#REF!</v>
      </c>
    </row>
  </sheetData>
  <sortState xmlns:xlrd2="http://schemas.microsoft.com/office/spreadsheetml/2017/richdata2" ref="B2:F24">
    <sortCondition descending="1" ref="E1"/>
  </sortState>
  <pageMargins left="0.7" right="0.7" top="0.75" bottom="0.75" header="0.3" footer="0.3"/>
  <pageSetup paperSize="9"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A038A-FF0C-4651-AEF4-B359C787556D}">
  <sheetPr codeName="Лист8">
    <tabColor theme="9" tint="0.79998168889431442"/>
  </sheetPr>
  <dimension ref="A1:J58"/>
  <sheetViews>
    <sheetView zoomScaleNormal="100" workbookViewId="0"/>
  </sheetViews>
  <sheetFormatPr defaultColWidth="9.140625" defaultRowHeight="15" x14ac:dyDescent="0.25"/>
  <cols>
    <col min="1" max="1" width="9.140625" style="19"/>
    <col min="2" max="2" width="55.42578125" style="19" customWidth="1"/>
    <col min="3" max="8" width="15.7109375" style="19" customWidth="1"/>
    <col min="9" max="9" width="10.7109375" style="19" customWidth="1"/>
    <col min="10" max="10" width="11.28515625" style="154" bestFit="1" customWidth="1"/>
    <col min="11" max="16384" width="9.140625" style="19"/>
  </cols>
  <sheetData>
    <row r="1" spans="1:10" x14ac:dyDescent="0.25">
      <c r="A1" s="153" t="s">
        <v>264</v>
      </c>
    </row>
    <row r="2" spans="1:10" x14ac:dyDescent="0.25">
      <c r="A2" s="188" t="s">
        <v>265</v>
      </c>
      <c r="B2" s="188" t="s">
        <v>0</v>
      </c>
      <c r="C2" s="194" t="s">
        <v>266</v>
      </c>
      <c r="D2" s="194"/>
      <c r="E2" s="194"/>
      <c r="F2" s="194" t="s">
        <v>267</v>
      </c>
      <c r="G2" s="194"/>
      <c r="H2" s="194"/>
      <c r="I2" s="194" t="s">
        <v>27</v>
      </c>
    </row>
    <row r="3" spans="1:10" ht="56.25" x14ac:dyDescent="0.25">
      <c r="A3" s="188"/>
      <c r="B3" s="188"/>
      <c r="C3" s="39" t="s">
        <v>1</v>
      </c>
      <c r="D3" s="39" t="s">
        <v>253</v>
      </c>
      <c r="E3" s="39" t="s">
        <v>112</v>
      </c>
      <c r="F3" s="39" t="s">
        <v>1</v>
      </c>
      <c r="G3" s="128" t="s">
        <v>253</v>
      </c>
      <c r="H3" s="39" t="s">
        <v>112</v>
      </c>
      <c r="I3" s="194"/>
    </row>
    <row r="4" spans="1:10" x14ac:dyDescent="0.25">
      <c r="A4" s="123">
        <v>1</v>
      </c>
      <c r="B4" s="158" t="s">
        <v>173</v>
      </c>
      <c r="C4" s="125">
        <v>2261.2240000000002</v>
      </c>
      <c r="D4" s="126">
        <v>0.36559845464227969</v>
      </c>
      <c r="E4" s="127">
        <v>0</v>
      </c>
      <c r="F4" s="127">
        <v>1394.1110000000001</v>
      </c>
      <c r="G4" s="174">
        <v>8.8866528923547961E-2</v>
      </c>
      <c r="H4" s="127">
        <v>0</v>
      </c>
      <c r="I4" s="125">
        <f t="shared" ref="I4:I47" si="0">(C4/F4-1)*100</f>
        <v>62.198275460131946</v>
      </c>
      <c r="J4" s="154">
        <v>2310981029</v>
      </c>
    </row>
    <row r="5" spans="1:10" x14ac:dyDescent="0.25">
      <c r="A5" s="123">
        <v>2</v>
      </c>
      <c r="B5" s="142" t="s">
        <v>243</v>
      </c>
      <c r="C5" s="125">
        <v>1727.873</v>
      </c>
      <c r="D5" s="126">
        <v>1.7725839804198618</v>
      </c>
      <c r="E5" s="127">
        <v>547.22900000000004</v>
      </c>
      <c r="F5" s="127">
        <v>1229.671</v>
      </c>
      <c r="G5" s="174">
        <v>0.51029909626234549</v>
      </c>
      <c r="H5" s="127">
        <v>220.27799999999999</v>
      </c>
      <c r="I5" s="125">
        <f t="shared" si="0"/>
        <v>40.515064598579606</v>
      </c>
      <c r="J5" s="154">
        <v>6671118019</v>
      </c>
    </row>
    <row r="6" spans="1:10" x14ac:dyDescent="0.25">
      <c r="A6" s="123">
        <v>3</v>
      </c>
      <c r="B6" s="142" t="s">
        <v>250</v>
      </c>
      <c r="C6" s="125">
        <v>1688.6046000000001</v>
      </c>
      <c r="D6" s="126">
        <v>1.2380577430619488</v>
      </c>
      <c r="E6" s="127">
        <v>1688.6046000000001</v>
      </c>
      <c r="F6" s="127">
        <v>818.72829999999999</v>
      </c>
      <c r="G6" s="174">
        <v>1.5690675404771093</v>
      </c>
      <c r="H6" s="127">
        <v>0</v>
      </c>
      <c r="I6" s="125">
        <f t="shared" si="0"/>
        <v>106.24724954542306</v>
      </c>
      <c r="J6" s="154">
        <v>9102023109</v>
      </c>
    </row>
    <row r="7" spans="1:10" x14ac:dyDescent="0.25">
      <c r="A7" s="123">
        <v>4</v>
      </c>
      <c r="B7" s="142" t="s">
        <v>172</v>
      </c>
      <c r="C7" s="125">
        <v>1667.3013255199999</v>
      </c>
      <c r="D7" s="126">
        <v>1.0480931510415403</v>
      </c>
      <c r="E7" s="127">
        <v>358.22754694999998</v>
      </c>
      <c r="F7" s="127">
        <v>1355.27122605</v>
      </c>
      <c r="G7" s="174">
        <v>1.8194269830303589</v>
      </c>
      <c r="H7" s="127">
        <v>79.093339</v>
      </c>
      <c r="I7" s="125">
        <f t="shared" si="0"/>
        <v>23.023443091861839</v>
      </c>
      <c r="J7" s="154">
        <v>1831045838</v>
      </c>
    </row>
    <row r="8" spans="1:10" x14ac:dyDescent="0.25">
      <c r="A8" s="123">
        <v>5</v>
      </c>
      <c r="B8" s="142" t="s">
        <v>171</v>
      </c>
      <c r="C8" s="125">
        <v>1621.59</v>
      </c>
      <c r="D8" s="126">
        <v>1.9033787825529225</v>
      </c>
      <c r="E8" s="127">
        <v>0</v>
      </c>
      <c r="F8" s="127">
        <v>1329.1079999999999</v>
      </c>
      <c r="G8" s="174">
        <v>2.37280254066492</v>
      </c>
      <c r="H8" s="127">
        <v>0</v>
      </c>
      <c r="I8" s="125">
        <f t="shared" si="0"/>
        <v>22.005886654809093</v>
      </c>
      <c r="J8" s="155">
        <v>6164072742</v>
      </c>
    </row>
    <row r="9" spans="1:10" x14ac:dyDescent="0.25">
      <c r="A9" s="123">
        <v>6</v>
      </c>
      <c r="B9" s="142" t="s">
        <v>238</v>
      </c>
      <c r="C9" s="125">
        <v>1165.537</v>
      </c>
      <c r="D9" s="126">
        <v>1.141108831753368</v>
      </c>
      <c r="E9" s="127">
        <v>0</v>
      </c>
      <c r="F9" s="127">
        <v>959.96799999999996</v>
      </c>
      <c r="G9" s="174">
        <v>2.37280254066492</v>
      </c>
      <c r="H9" s="127">
        <v>0</v>
      </c>
      <c r="I9" s="125">
        <f t="shared" si="0"/>
        <v>21.414151305043518</v>
      </c>
      <c r="J9" s="154">
        <v>8601042850</v>
      </c>
    </row>
    <row r="10" spans="1:10" x14ac:dyDescent="0.25">
      <c r="A10" s="123">
        <v>7</v>
      </c>
      <c r="B10" s="142" t="s">
        <v>177</v>
      </c>
      <c r="C10" s="125">
        <v>1088.829</v>
      </c>
      <c r="D10" s="126">
        <v>1.5007866248970103</v>
      </c>
      <c r="E10" s="127">
        <v>0.28999999999999998</v>
      </c>
      <c r="F10" s="127">
        <v>643.05700000000002</v>
      </c>
      <c r="G10" s="174">
        <v>1.5238151516895004</v>
      </c>
      <c r="H10" s="127">
        <v>5.2770000000000001</v>
      </c>
      <c r="I10" s="125">
        <f t="shared" si="0"/>
        <v>69.320760057040047</v>
      </c>
      <c r="J10" s="154">
        <v>2130058291</v>
      </c>
    </row>
    <row r="11" spans="1:10" x14ac:dyDescent="0.25">
      <c r="A11" s="123">
        <v>8</v>
      </c>
      <c r="B11" s="142" t="s">
        <v>175</v>
      </c>
      <c r="C11" s="125">
        <v>1022.997228</v>
      </c>
      <c r="D11" s="126">
        <v>1.4178518380110305</v>
      </c>
      <c r="E11" s="127">
        <v>0</v>
      </c>
      <c r="F11" s="127">
        <v>726.264138</v>
      </c>
      <c r="G11" s="174">
        <v>1.9951422623178394</v>
      </c>
      <c r="H11" s="127">
        <v>0</v>
      </c>
      <c r="I11" s="125">
        <f t="shared" si="0"/>
        <v>40.857461421288008</v>
      </c>
      <c r="J11" s="154">
        <v>2634091033</v>
      </c>
    </row>
    <row r="12" spans="1:10" x14ac:dyDescent="0.25">
      <c r="A12" s="123">
        <v>9</v>
      </c>
      <c r="B12" s="142" t="s">
        <v>332</v>
      </c>
      <c r="C12" s="125">
        <v>982.98987999999997</v>
      </c>
      <c r="D12" s="125" t="s">
        <v>5</v>
      </c>
      <c r="E12" s="127">
        <v>0</v>
      </c>
      <c r="F12" s="127">
        <v>739.63400000000001</v>
      </c>
      <c r="G12" s="174">
        <v>0.61814356830540695</v>
      </c>
      <c r="H12" s="127">
        <v>0</v>
      </c>
      <c r="I12" s="125">
        <f t="shared" si="0"/>
        <v>32.902202981474616</v>
      </c>
      <c r="J12" s="154">
        <v>4345045088</v>
      </c>
    </row>
    <row r="13" spans="1:10" x14ac:dyDescent="0.25">
      <c r="A13" s="123">
        <v>10</v>
      </c>
      <c r="B13" s="142" t="s">
        <v>178</v>
      </c>
      <c r="C13" s="125">
        <v>978.35500000000002</v>
      </c>
      <c r="D13" s="126">
        <v>0.8900654670339514</v>
      </c>
      <c r="E13" s="127">
        <v>0</v>
      </c>
      <c r="F13" s="127">
        <v>644.72400000000005</v>
      </c>
      <c r="G13" s="174">
        <v>0.27360544977386159</v>
      </c>
      <c r="H13" s="127">
        <v>0</v>
      </c>
      <c r="I13" s="125">
        <f t="shared" si="0"/>
        <v>51.747879712869384</v>
      </c>
      <c r="J13" s="154">
        <v>5406570716</v>
      </c>
    </row>
    <row r="14" spans="1:10" x14ac:dyDescent="0.25">
      <c r="A14" s="123">
        <v>11</v>
      </c>
      <c r="B14" s="142" t="s">
        <v>188</v>
      </c>
      <c r="C14" s="125">
        <v>905.91499999999996</v>
      </c>
      <c r="D14" s="126">
        <v>1.9709354630401354</v>
      </c>
      <c r="E14" s="127">
        <v>48.347999999999999</v>
      </c>
      <c r="F14" s="127">
        <v>503.88900000000001</v>
      </c>
      <c r="G14" s="174">
        <v>2.3509145863473857</v>
      </c>
      <c r="H14" s="127">
        <v>0.86699999999999999</v>
      </c>
      <c r="I14" s="125">
        <f t="shared" si="0"/>
        <v>79.784635108128967</v>
      </c>
      <c r="J14" s="154">
        <v>5321059541</v>
      </c>
    </row>
    <row r="15" spans="1:10" x14ac:dyDescent="0.25">
      <c r="A15" s="123">
        <v>12</v>
      </c>
      <c r="B15" s="142" t="s">
        <v>270</v>
      </c>
      <c r="C15" s="125">
        <v>837.02</v>
      </c>
      <c r="D15" s="126">
        <v>7.1798762275692258</v>
      </c>
      <c r="E15" s="127">
        <v>0</v>
      </c>
      <c r="F15" s="127">
        <v>575.46100000000001</v>
      </c>
      <c r="G15" s="174">
        <v>13.356074521123073</v>
      </c>
      <c r="H15" s="127">
        <v>0</v>
      </c>
      <c r="I15" s="125">
        <f t="shared" si="0"/>
        <v>45.452081027211207</v>
      </c>
      <c r="J15" s="155" t="s">
        <v>269</v>
      </c>
    </row>
    <row r="16" spans="1:10" x14ac:dyDescent="0.25">
      <c r="A16" s="123">
        <v>13</v>
      </c>
      <c r="B16" s="142" t="s">
        <v>179</v>
      </c>
      <c r="C16" s="125">
        <v>763.779</v>
      </c>
      <c r="D16" s="126">
        <v>2.3064263353666403</v>
      </c>
      <c r="E16" s="127">
        <v>70.88</v>
      </c>
      <c r="F16" s="127">
        <v>520.75099999999998</v>
      </c>
      <c r="G16" s="174">
        <v>4.5964386050146739</v>
      </c>
      <c r="H16" s="127">
        <v>96.028000000000006</v>
      </c>
      <c r="I16" s="125">
        <f t="shared" si="0"/>
        <v>46.668753396536935</v>
      </c>
      <c r="J16" s="154">
        <v>3525251257</v>
      </c>
    </row>
    <row r="17" spans="1:10" x14ac:dyDescent="0.25">
      <c r="A17" s="123">
        <v>14</v>
      </c>
      <c r="B17" s="142" t="s">
        <v>236</v>
      </c>
      <c r="C17" s="125">
        <v>748.41700000000003</v>
      </c>
      <c r="D17" s="126">
        <v>2.175391526381687</v>
      </c>
      <c r="E17" s="127">
        <v>0</v>
      </c>
      <c r="F17" s="127">
        <v>423.387</v>
      </c>
      <c r="G17" s="174">
        <v>4.1723057155746428</v>
      </c>
      <c r="H17" s="127">
        <v>0</v>
      </c>
      <c r="I17" s="125">
        <f t="shared" si="0"/>
        <v>76.769008023392331</v>
      </c>
      <c r="J17" s="154">
        <v>5902198365</v>
      </c>
    </row>
    <row r="18" spans="1:10" x14ac:dyDescent="0.25">
      <c r="A18" s="123">
        <v>15</v>
      </c>
      <c r="B18" s="142" t="s">
        <v>193</v>
      </c>
      <c r="C18" s="125">
        <v>735.24300000000005</v>
      </c>
      <c r="D18" s="126">
        <v>1.020614953151544</v>
      </c>
      <c r="E18" s="127">
        <v>0</v>
      </c>
      <c r="F18" s="127">
        <v>440.27</v>
      </c>
      <c r="G18" s="174">
        <v>1.6</v>
      </c>
      <c r="H18" s="127">
        <v>0</v>
      </c>
      <c r="I18" s="125">
        <f t="shared" si="0"/>
        <v>66.998205646535098</v>
      </c>
      <c r="J18" s="154">
        <v>7106015641</v>
      </c>
    </row>
    <row r="19" spans="1:10" x14ac:dyDescent="0.25">
      <c r="A19" s="123">
        <v>16</v>
      </c>
      <c r="B19" s="142" t="s">
        <v>271</v>
      </c>
      <c r="C19" s="125">
        <v>700.01499999999999</v>
      </c>
      <c r="D19" s="126">
        <v>0.67455697377912793</v>
      </c>
      <c r="E19" s="127">
        <v>0</v>
      </c>
      <c r="F19" s="127">
        <v>566.05799999999999</v>
      </c>
      <c r="G19" s="174">
        <v>0.83525009804648054</v>
      </c>
      <c r="H19" s="127">
        <v>0</v>
      </c>
      <c r="I19" s="125">
        <f t="shared" si="0"/>
        <v>23.664889463623862</v>
      </c>
      <c r="J19" s="45">
        <v>275066729</v>
      </c>
    </row>
    <row r="20" spans="1:10" x14ac:dyDescent="0.25">
      <c r="A20" s="123">
        <v>17</v>
      </c>
      <c r="B20" s="142" t="s">
        <v>242</v>
      </c>
      <c r="C20" s="125">
        <v>692.00991099999999</v>
      </c>
      <c r="D20" s="126">
        <f>100-92.6556629909308</f>
        <v>7.3443370090692071</v>
      </c>
      <c r="E20" s="127">
        <v>53</v>
      </c>
      <c r="F20" s="127">
        <v>509.60893699999997</v>
      </c>
      <c r="G20" s="174">
        <v>12.78161297238003</v>
      </c>
      <c r="H20" s="127">
        <v>20</v>
      </c>
      <c r="I20" s="125">
        <f t="shared" si="0"/>
        <v>35.792342079746533</v>
      </c>
      <c r="J20" s="154">
        <v>2901204067</v>
      </c>
    </row>
    <row r="21" spans="1:10" x14ac:dyDescent="0.25">
      <c r="A21" s="123">
        <v>18</v>
      </c>
      <c r="B21" s="142" t="s">
        <v>239</v>
      </c>
      <c r="C21" s="125">
        <v>687.95869999999991</v>
      </c>
      <c r="D21" s="126">
        <v>6.1898919222912463</v>
      </c>
      <c r="E21" s="127">
        <v>26.373000000000001</v>
      </c>
      <c r="F21" s="127">
        <v>413.238</v>
      </c>
      <c r="G21" s="174">
        <v>4.8239029324505527</v>
      </c>
      <c r="H21" s="127">
        <v>47.393999999999998</v>
      </c>
      <c r="I21" s="125">
        <f t="shared" si="0"/>
        <v>66.480018778524695</v>
      </c>
      <c r="J21" s="154">
        <v>4824047100</v>
      </c>
    </row>
    <row r="22" spans="1:10" x14ac:dyDescent="0.25">
      <c r="A22" s="123">
        <v>19</v>
      </c>
      <c r="B22" s="142" t="s">
        <v>182</v>
      </c>
      <c r="C22" s="125">
        <v>684.84900000000005</v>
      </c>
      <c r="D22" s="126">
        <v>1.4806183552870888</v>
      </c>
      <c r="E22" s="127">
        <v>0.40500000000000003</v>
      </c>
      <c r="F22" s="127">
        <v>476.13900000000001</v>
      </c>
      <c r="G22" s="174">
        <v>1.5251848724847195</v>
      </c>
      <c r="H22" s="127">
        <v>1.331</v>
      </c>
      <c r="I22" s="125">
        <f t="shared" si="0"/>
        <v>43.833838437935157</v>
      </c>
      <c r="J22" s="45">
        <v>2721052016</v>
      </c>
    </row>
    <row r="23" spans="1:10" x14ac:dyDescent="0.25">
      <c r="A23" s="123">
        <v>20</v>
      </c>
      <c r="B23" s="159" t="s">
        <v>227</v>
      </c>
      <c r="C23" s="125">
        <v>658.00699999999995</v>
      </c>
      <c r="D23" s="126">
        <v>2.5659301496792408</v>
      </c>
      <c r="E23" s="127">
        <v>1.6519999999999999</v>
      </c>
      <c r="F23" s="127">
        <v>455.52199999999999</v>
      </c>
      <c r="G23" s="174">
        <v>2.3897857842211767</v>
      </c>
      <c r="H23" s="127">
        <v>7.1349999999999998</v>
      </c>
      <c r="I23" s="125">
        <f t="shared" si="0"/>
        <v>44.451201039686339</v>
      </c>
      <c r="J23" s="154">
        <v>4101091354</v>
      </c>
    </row>
    <row r="24" spans="1:10" x14ac:dyDescent="0.25">
      <c r="A24" s="123">
        <v>21</v>
      </c>
      <c r="B24" s="142" t="s">
        <v>268</v>
      </c>
      <c r="C24" s="125">
        <v>651.60699999999997</v>
      </c>
      <c r="D24" s="126">
        <v>0.83225011394905124</v>
      </c>
      <c r="E24" s="127">
        <v>202.02</v>
      </c>
      <c r="F24" s="127">
        <v>485.29764</v>
      </c>
      <c r="G24" s="174">
        <v>1.1917717135405792</v>
      </c>
      <c r="H24" s="127">
        <v>0</v>
      </c>
      <c r="I24" s="125">
        <f t="shared" si="0"/>
        <v>34.269558780463051</v>
      </c>
      <c r="J24" s="45">
        <v>2221171632</v>
      </c>
    </row>
    <row r="25" spans="1:10" x14ac:dyDescent="0.25">
      <c r="A25" s="123">
        <v>22</v>
      </c>
      <c r="B25" s="142" t="s">
        <v>192</v>
      </c>
      <c r="C25" s="125">
        <v>640.95100000000002</v>
      </c>
      <c r="D25" s="126">
        <v>1.4361472249828866</v>
      </c>
      <c r="E25" s="127">
        <v>30</v>
      </c>
      <c r="F25" s="127">
        <v>465.96499999999997</v>
      </c>
      <c r="G25" s="174">
        <v>2.1033768630691174</v>
      </c>
      <c r="H25" s="127">
        <v>30</v>
      </c>
      <c r="I25" s="125">
        <f t="shared" si="0"/>
        <v>37.553464315989402</v>
      </c>
      <c r="J25" s="154">
        <v>3328999318</v>
      </c>
    </row>
    <row r="26" spans="1:10" x14ac:dyDescent="0.25">
      <c r="A26" s="123">
        <v>23</v>
      </c>
      <c r="B26" s="158" t="s">
        <v>255</v>
      </c>
      <c r="C26" s="125">
        <v>613.447</v>
      </c>
      <c r="D26" s="126">
        <v>0.19512688137687251</v>
      </c>
      <c r="E26" s="127">
        <v>0</v>
      </c>
      <c r="F26" s="127">
        <v>276.26900000000001</v>
      </c>
      <c r="G26" s="174">
        <v>0.51001017124613357</v>
      </c>
      <c r="H26" s="127">
        <v>0</v>
      </c>
      <c r="I26" s="125">
        <f t="shared" si="0"/>
        <v>122.04699043323717</v>
      </c>
      <c r="J26" s="154">
        <v>5835073174</v>
      </c>
    </row>
    <row r="27" spans="1:10" x14ac:dyDescent="0.25">
      <c r="A27" s="123">
        <v>24</v>
      </c>
      <c r="B27" s="142" t="s">
        <v>272</v>
      </c>
      <c r="C27" s="125">
        <v>590.35</v>
      </c>
      <c r="D27" s="126">
        <v>0.78766833234521494</v>
      </c>
      <c r="E27" s="127">
        <v>0</v>
      </c>
      <c r="F27" s="127">
        <v>403.517</v>
      </c>
      <c r="G27" s="174">
        <v>1.3067603099745417</v>
      </c>
      <c r="H27" s="127">
        <v>0</v>
      </c>
      <c r="I27" s="125">
        <f t="shared" si="0"/>
        <v>46.301147163564373</v>
      </c>
      <c r="J27" s="154">
        <v>7204137581</v>
      </c>
    </row>
    <row r="28" spans="1:10" x14ac:dyDescent="0.25">
      <c r="A28" s="123">
        <v>25</v>
      </c>
      <c r="B28" s="159" t="s">
        <v>181</v>
      </c>
      <c r="C28" s="125">
        <v>578.52499999999998</v>
      </c>
      <c r="D28" s="126">
        <v>9.1785143252232082E-2</v>
      </c>
      <c r="E28" s="127">
        <v>0</v>
      </c>
      <c r="F28" s="127">
        <v>487.51499999999999</v>
      </c>
      <c r="G28" s="174">
        <v>0.27691455647518293</v>
      </c>
      <c r="H28" s="127">
        <v>0</v>
      </c>
      <c r="I28" s="125">
        <f t="shared" si="0"/>
        <v>18.668143544301195</v>
      </c>
      <c r="J28" s="154">
        <v>5753990187</v>
      </c>
    </row>
    <row r="29" spans="1:10" x14ac:dyDescent="0.25">
      <c r="A29" s="123">
        <v>26</v>
      </c>
      <c r="B29" s="142" t="s">
        <v>249</v>
      </c>
      <c r="C29" s="125">
        <v>575.57399999999996</v>
      </c>
      <c r="D29" s="125">
        <v>1.9398027013033836</v>
      </c>
      <c r="E29" s="127">
        <v>0</v>
      </c>
      <c r="F29" s="127">
        <v>226.91399999999999</v>
      </c>
      <c r="G29" s="174">
        <v>3.7216742907004385</v>
      </c>
      <c r="H29" s="127">
        <v>0</v>
      </c>
      <c r="I29" s="125">
        <f t="shared" si="0"/>
        <v>153.65292577804809</v>
      </c>
      <c r="J29" s="154">
        <v>5260248556</v>
      </c>
    </row>
    <row r="30" spans="1:10" x14ac:dyDescent="0.25">
      <c r="A30" s="123">
        <v>27</v>
      </c>
      <c r="B30" s="142" t="s">
        <v>247</v>
      </c>
      <c r="C30" s="125">
        <v>503.76</v>
      </c>
      <c r="D30" s="126">
        <v>0.39780848022868964</v>
      </c>
      <c r="E30" s="127">
        <v>0</v>
      </c>
      <c r="F30" s="127">
        <v>261.10899999999998</v>
      </c>
      <c r="G30" s="174">
        <v>0.93983738591929544</v>
      </c>
      <c r="H30" s="127">
        <v>2.85</v>
      </c>
      <c r="I30" s="125">
        <f t="shared" si="0"/>
        <v>92.930921569153128</v>
      </c>
      <c r="J30" s="154">
        <v>6952000911</v>
      </c>
    </row>
    <row r="31" spans="1:10" x14ac:dyDescent="0.25">
      <c r="A31" s="123">
        <v>28</v>
      </c>
      <c r="B31" s="142" t="s">
        <v>187</v>
      </c>
      <c r="C31" s="125">
        <v>503.45600000000002</v>
      </c>
      <c r="D31" s="126">
        <v>3.9498983029301549</v>
      </c>
      <c r="E31" s="127">
        <v>0</v>
      </c>
      <c r="F31" s="127">
        <v>361.61900000000003</v>
      </c>
      <c r="G31" s="174">
        <v>4.8036745856827263</v>
      </c>
      <c r="H31" s="127">
        <v>0</v>
      </c>
      <c r="I31" s="125">
        <f t="shared" si="0"/>
        <v>39.2227731396857</v>
      </c>
      <c r="J31" s="154">
        <v>3666144160</v>
      </c>
    </row>
    <row r="32" spans="1:10" x14ac:dyDescent="0.25">
      <c r="A32" s="123">
        <v>29</v>
      </c>
      <c r="B32" s="158" t="s">
        <v>244</v>
      </c>
      <c r="C32" s="125">
        <v>500.01499999999999</v>
      </c>
      <c r="D32" s="126">
        <v>2.353729388118353</v>
      </c>
      <c r="E32" s="127">
        <v>0</v>
      </c>
      <c r="F32" s="127">
        <v>330.03800000000001</v>
      </c>
      <c r="G32" s="174">
        <v>7.9963519352317043</v>
      </c>
      <c r="H32" s="127">
        <v>0</v>
      </c>
      <c r="I32" s="125">
        <f t="shared" si="0"/>
        <v>51.502251255915986</v>
      </c>
      <c r="J32" s="154">
        <v>5038072003</v>
      </c>
    </row>
    <row r="33" spans="1:10" x14ac:dyDescent="0.25">
      <c r="A33" s="123">
        <v>30</v>
      </c>
      <c r="B33" s="142" t="s">
        <v>198</v>
      </c>
      <c r="C33" s="125">
        <v>493.64828</v>
      </c>
      <c r="D33" s="126">
        <v>2.9738116377109658</v>
      </c>
      <c r="E33" s="127">
        <v>0</v>
      </c>
      <c r="F33" s="127">
        <v>362.76715999999999</v>
      </c>
      <c r="G33" s="174">
        <v>6.127437224472021</v>
      </c>
      <c r="H33" s="127">
        <v>0</v>
      </c>
      <c r="I33" s="125">
        <f t="shared" si="0"/>
        <v>36.078546911467946</v>
      </c>
      <c r="J33" s="154">
        <v>3015028318</v>
      </c>
    </row>
    <row r="34" spans="1:10" x14ac:dyDescent="0.25">
      <c r="A34" s="123">
        <v>31</v>
      </c>
      <c r="B34" s="142" t="s">
        <v>240</v>
      </c>
      <c r="C34" s="125">
        <v>386.11900000000003</v>
      </c>
      <c r="D34" s="126" t="s">
        <v>5</v>
      </c>
      <c r="E34" s="127">
        <v>0</v>
      </c>
      <c r="F34" s="127">
        <v>187.85499999999999</v>
      </c>
      <c r="G34" s="174">
        <v>2.9</v>
      </c>
      <c r="H34" s="127">
        <v>0</v>
      </c>
      <c r="I34" s="125">
        <f t="shared" si="0"/>
        <v>105.54097575257515</v>
      </c>
      <c r="J34" s="154">
        <v>4632066518</v>
      </c>
    </row>
    <row r="35" spans="1:10" x14ac:dyDescent="0.25">
      <c r="A35" s="123">
        <v>32</v>
      </c>
      <c r="B35" s="142" t="s">
        <v>194</v>
      </c>
      <c r="C35" s="125">
        <v>346.13200000000001</v>
      </c>
      <c r="D35" s="126">
        <v>9.02863647394636</v>
      </c>
      <c r="E35" s="127">
        <v>0</v>
      </c>
      <c r="F35" s="127">
        <v>240.54499999999999</v>
      </c>
      <c r="G35" s="174">
        <v>7.7133176744475946</v>
      </c>
      <c r="H35" s="127">
        <v>0</v>
      </c>
      <c r="I35" s="125">
        <f t="shared" si="0"/>
        <v>43.894905319171059</v>
      </c>
      <c r="J35" s="154">
        <v>6450939546</v>
      </c>
    </row>
    <row r="36" spans="1:10" x14ac:dyDescent="0.25">
      <c r="A36" s="123">
        <v>33</v>
      </c>
      <c r="B36" s="142" t="s">
        <v>207</v>
      </c>
      <c r="C36" s="125">
        <v>211.59793999999999</v>
      </c>
      <c r="D36" s="126">
        <v>51.020076093368402</v>
      </c>
      <c r="E36" s="127">
        <v>297.06594000000001</v>
      </c>
      <c r="F36" s="127">
        <v>91.13664</v>
      </c>
      <c r="G36" s="174">
        <v>7.7633649869031878</v>
      </c>
      <c r="H36" s="127">
        <v>23.05</v>
      </c>
      <c r="I36" s="125">
        <f t="shared" si="0"/>
        <v>132.1765867163854</v>
      </c>
      <c r="J36" s="154">
        <v>7536165141</v>
      </c>
    </row>
    <row r="37" spans="1:10" x14ac:dyDescent="0.25">
      <c r="A37" s="123">
        <v>34</v>
      </c>
      <c r="B37" s="142" t="s">
        <v>248</v>
      </c>
      <c r="C37" s="125">
        <v>180.828</v>
      </c>
      <c r="D37" s="126">
        <v>0</v>
      </c>
      <c r="E37" s="127">
        <v>0</v>
      </c>
      <c r="F37" s="127">
        <v>69.257999999999996</v>
      </c>
      <c r="G37" s="174">
        <v>0</v>
      </c>
      <c r="H37" s="127">
        <v>0</v>
      </c>
      <c r="I37" s="125">
        <f t="shared" si="0"/>
        <v>161.09330330070173</v>
      </c>
      <c r="J37" s="154">
        <v>2801249882</v>
      </c>
    </row>
    <row r="38" spans="1:10" x14ac:dyDescent="0.25">
      <c r="A38" s="123">
        <v>35</v>
      </c>
      <c r="B38" s="124" t="s">
        <v>321</v>
      </c>
      <c r="C38" s="125">
        <v>167.46899999999999</v>
      </c>
      <c r="D38" s="126">
        <f>(1-145.015/C38)*100</f>
        <v>13.407854588013313</v>
      </c>
      <c r="E38" s="127" t="s">
        <v>5</v>
      </c>
      <c r="F38" s="127">
        <v>50.8</v>
      </c>
      <c r="G38" s="174">
        <f>(1-49.782/F38)*100</f>
        <v>2.0039370078740126</v>
      </c>
      <c r="H38" s="127" t="s">
        <v>5</v>
      </c>
      <c r="I38" s="125">
        <f t="shared" si="0"/>
        <v>229.66338582677167</v>
      </c>
      <c r="J38" s="154">
        <v>9701125685</v>
      </c>
    </row>
    <row r="39" spans="1:10" x14ac:dyDescent="0.25">
      <c r="A39" s="123">
        <v>36</v>
      </c>
      <c r="B39" s="142" t="s">
        <v>246</v>
      </c>
      <c r="C39" s="125">
        <v>163.07503</v>
      </c>
      <c r="D39" s="126">
        <v>1.9495995187000625</v>
      </c>
      <c r="E39" s="127">
        <v>8.8643199999999993</v>
      </c>
      <c r="F39" s="127">
        <v>174.90303</v>
      </c>
      <c r="G39" s="174">
        <v>1.7263623163074837</v>
      </c>
      <c r="H39" s="127">
        <v>12.709299999999999</v>
      </c>
      <c r="I39" s="125">
        <f t="shared" si="0"/>
        <v>-6.7626043985630213</v>
      </c>
      <c r="J39" s="154">
        <v>1435296482</v>
      </c>
    </row>
    <row r="40" spans="1:10" x14ac:dyDescent="0.25">
      <c r="A40" s="123">
        <v>37</v>
      </c>
      <c r="B40" s="142" t="s">
        <v>287</v>
      </c>
      <c r="C40" s="125">
        <v>92.44438000000001</v>
      </c>
      <c r="D40" s="126">
        <v>50.084844530300273</v>
      </c>
      <c r="E40" s="127" t="s">
        <v>5</v>
      </c>
      <c r="F40" s="127">
        <v>115.00966199999999</v>
      </c>
      <c r="G40" s="174">
        <v>25.222567822171314</v>
      </c>
      <c r="H40" s="127" t="s">
        <v>5</v>
      </c>
      <c r="I40" s="125">
        <f t="shared" si="0"/>
        <v>-19.620335898387374</v>
      </c>
      <c r="J40" s="20" t="s">
        <v>288</v>
      </c>
    </row>
    <row r="41" spans="1:10" x14ac:dyDescent="0.25">
      <c r="A41" s="123">
        <v>38</v>
      </c>
      <c r="B41" s="142" t="s">
        <v>274</v>
      </c>
      <c r="C41" s="125">
        <v>67.461610000000007</v>
      </c>
      <c r="D41" s="126">
        <v>0</v>
      </c>
      <c r="E41" s="127">
        <v>0</v>
      </c>
      <c r="F41" s="127">
        <v>9</v>
      </c>
      <c r="G41" s="174">
        <v>0</v>
      </c>
      <c r="H41" s="127">
        <v>0</v>
      </c>
      <c r="I41" s="125">
        <f t="shared" si="0"/>
        <v>649.57344444444459</v>
      </c>
      <c r="J41" s="155">
        <v>7901550330</v>
      </c>
    </row>
    <row r="42" spans="1:10" x14ac:dyDescent="0.25">
      <c r="A42" s="123">
        <v>39</v>
      </c>
      <c r="B42" s="142" t="s">
        <v>213</v>
      </c>
      <c r="C42" s="125">
        <v>54.326000000000001</v>
      </c>
      <c r="D42" s="126">
        <v>13.577292640724515</v>
      </c>
      <c r="E42" s="127" t="s">
        <v>5</v>
      </c>
      <c r="F42" s="127">
        <v>22.908999999999999</v>
      </c>
      <c r="G42" s="174">
        <v>0</v>
      </c>
      <c r="H42" s="127" t="s">
        <v>5</v>
      </c>
      <c r="I42" s="125">
        <f t="shared" si="0"/>
        <v>137.13824261207387</v>
      </c>
      <c r="J42" s="20" t="s">
        <v>214</v>
      </c>
    </row>
    <row r="43" spans="1:10" x14ac:dyDescent="0.25">
      <c r="A43" s="123">
        <v>40</v>
      </c>
      <c r="B43" s="124" t="s">
        <v>241</v>
      </c>
      <c r="C43" s="125">
        <v>36.707999999999998</v>
      </c>
      <c r="D43" s="126">
        <v>5.4919908466819152</v>
      </c>
      <c r="E43" s="125">
        <v>0</v>
      </c>
      <c r="F43" s="125">
        <v>31.748000000000001</v>
      </c>
      <c r="G43" s="126">
        <v>6.6114400907143711</v>
      </c>
      <c r="H43" s="125">
        <v>0</v>
      </c>
      <c r="I43" s="125">
        <f t="shared" si="0"/>
        <v>15.623031372054918</v>
      </c>
      <c r="J43" s="154">
        <v>3818029140</v>
      </c>
    </row>
    <row r="44" spans="1:10" x14ac:dyDescent="0.25">
      <c r="A44" s="123">
        <v>41</v>
      </c>
      <c r="B44" s="124" t="s">
        <v>24</v>
      </c>
      <c r="C44" s="125">
        <v>35.116</v>
      </c>
      <c r="D44" s="126">
        <v>11.681284884383192</v>
      </c>
      <c r="E44" s="125" t="s">
        <v>5</v>
      </c>
      <c r="F44" s="125">
        <v>17.260000000000002</v>
      </c>
      <c r="G44" s="126">
        <v>2.7230590961761392</v>
      </c>
      <c r="H44" s="125" t="s">
        <v>5</v>
      </c>
      <c r="I44" s="125">
        <f t="shared" si="0"/>
        <v>103.45307068366161</v>
      </c>
      <c r="J44" s="20">
        <v>5407487242</v>
      </c>
    </row>
    <row r="45" spans="1:10" x14ac:dyDescent="0.25">
      <c r="A45" s="123">
        <v>42</v>
      </c>
      <c r="B45" s="124" t="s">
        <v>273</v>
      </c>
      <c r="C45" s="125">
        <v>30.204000000000001</v>
      </c>
      <c r="D45" s="126">
        <v>2.7579128592239543</v>
      </c>
      <c r="E45" s="125">
        <v>0</v>
      </c>
      <c r="F45" s="125">
        <v>25.725000000000001</v>
      </c>
      <c r="G45" s="126">
        <v>3.6851311953352783</v>
      </c>
      <c r="H45" s="125">
        <v>0</v>
      </c>
      <c r="I45" s="125">
        <f t="shared" si="0"/>
        <v>17.411078717201157</v>
      </c>
      <c r="J45" s="155">
        <v>1824002590</v>
      </c>
    </row>
    <row r="46" spans="1:10" x14ac:dyDescent="0.25">
      <c r="A46" s="123">
        <v>43</v>
      </c>
      <c r="B46" s="124" t="s">
        <v>296</v>
      </c>
      <c r="C46" s="125">
        <v>6.931</v>
      </c>
      <c r="D46" s="126">
        <v>100</v>
      </c>
      <c r="E46" s="125" t="s">
        <v>5</v>
      </c>
      <c r="F46" s="125">
        <v>6.3259999999999996</v>
      </c>
      <c r="G46" s="126">
        <v>83.417641479607994</v>
      </c>
      <c r="H46" s="125" t="s">
        <v>5</v>
      </c>
      <c r="I46" s="125">
        <f t="shared" si="0"/>
        <v>9.5637053430287722</v>
      </c>
      <c r="J46" s="20" t="s">
        <v>12</v>
      </c>
    </row>
    <row r="47" spans="1:10" x14ac:dyDescent="0.25">
      <c r="A47" s="123">
        <v>44</v>
      </c>
      <c r="B47" s="124" t="s">
        <v>224</v>
      </c>
      <c r="C47" s="125">
        <v>3.7909999999999999</v>
      </c>
      <c r="D47" s="126">
        <v>75.811131627538913</v>
      </c>
      <c r="E47" s="125" t="s">
        <v>5</v>
      </c>
      <c r="F47" s="125">
        <v>3.9830000000000001</v>
      </c>
      <c r="G47" s="126">
        <v>51.418528747175493</v>
      </c>
      <c r="H47" s="125" t="s">
        <v>5</v>
      </c>
      <c r="I47" s="125">
        <f t="shared" si="0"/>
        <v>-4.820487070047708</v>
      </c>
      <c r="J47" s="20">
        <v>7838492459</v>
      </c>
    </row>
    <row r="48" spans="1:10" x14ac:dyDescent="0.25">
      <c r="A48" s="156"/>
      <c r="B48" s="158"/>
      <c r="C48" s="152"/>
      <c r="D48" s="157"/>
      <c r="E48" s="152"/>
      <c r="F48" s="152"/>
      <c r="G48" s="157"/>
      <c r="H48" s="152"/>
      <c r="I48" s="152"/>
    </row>
    <row r="49" spans="1:9" x14ac:dyDescent="0.25">
      <c r="A49" s="156"/>
      <c r="B49" s="117"/>
      <c r="C49" s="152"/>
      <c r="D49" s="157"/>
      <c r="E49" s="152"/>
      <c r="F49" s="152"/>
      <c r="G49" s="157"/>
      <c r="H49" s="152"/>
      <c r="I49" s="152"/>
    </row>
    <row r="50" spans="1:9" x14ac:dyDescent="0.25">
      <c r="A50" s="156"/>
      <c r="B50" s="117"/>
      <c r="C50" s="152"/>
      <c r="D50" s="157"/>
      <c r="E50" s="152"/>
      <c r="F50" s="152"/>
      <c r="G50" s="157"/>
      <c r="H50" s="152"/>
      <c r="I50" s="152"/>
    </row>
    <row r="51" spans="1:9" x14ac:dyDescent="0.25">
      <c r="A51" s="156"/>
      <c r="B51" s="117"/>
      <c r="C51" s="152"/>
      <c r="D51" s="157"/>
      <c r="E51" s="152"/>
      <c r="F51" s="152"/>
      <c r="G51" s="157"/>
      <c r="H51" s="152"/>
      <c r="I51" s="152"/>
    </row>
    <row r="52" spans="1:9" x14ac:dyDescent="0.25">
      <c r="A52" s="156"/>
      <c r="B52" s="117"/>
      <c r="C52" s="152"/>
      <c r="D52" s="157"/>
      <c r="E52" s="152"/>
      <c r="F52" s="152"/>
      <c r="G52" s="157"/>
      <c r="H52" s="152"/>
      <c r="I52" s="152"/>
    </row>
    <row r="53" spans="1:9" x14ac:dyDescent="0.25">
      <c r="A53" s="156"/>
      <c r="B53" s="117"/>
      <c r="C53" s="152"/>
      <c r="D53" s="157"/>
      <c r="E53" s="152"/>
      <c r="F53" s="152"/>
      <c r="G53" s="157"/>
      <c r="H53" s="152"/>
      <c r="I53" s="152"/>
    </row>
    <row r="54" spans="1:9" x14ac:dyDescent="0.25">
      <c r="A54" s="156"/>
      <c r="B54" s="117"/>
      <c r="C54" s="152"/>
      <c r="D54" s="152"/>
      <c r="E54" s="152"/>
      <c r="F54" s="152"/>
      <c r="G54" s="157"/>
      <c r="H54" s="152"/>
      <c r="I54" s="152"/>
    </row>
    <row r="55" spans="1:9" x14ac:dyDescent="0.25">
      <c r="A55" s="156"/>
      <c r="B55" s="117"/>
      <c r="C55" s="152"/>
      <c r="D55" s="157"/>
      <c r="E55" s="152"/>
      <c r="F55" s="152"/>
      <c r="G55" s="157"/>
      <c r="H55" s="152"/>
      <c r="I55" s="152"/>
    </row>
    <row r="56" spans="1:9" x14ac:dyDescent="0.25">
      <c r="A56" s="156"/>
      <c r="B56" s="158"/>
      <c r="C56" s="152"/>
      <c r="D56" s="157"/>
      <c r="E56" s="152"/>
      <c r="F56" s="152"/>
      <c r="G56" s="157"/>
      <c r="H56" s="152"/>
      <c r="I56" s="152"/>
    </row>
    <row r="57" spans="1:9" x14ac:dyDescent="0.25">
      <c r="A57" s="156"/>
      <c r="B57" s="117"/>
      <c r="C57" s="152"/>
      <c r="D57" s="152"/>
      <c r="E57" s="152"/>
      <c r="F57" s="152"/>
      <c r="G57" s="152"/>
      <c r="H57" s="152"/>
      <c r="I57" s="152"/>
    </row>
    <row r="58" spans="1:9" x14ac:dyDescent="0.25">
      <c r="A58" s="144"/>
      <c r="B58" s="144"/>
      <c r="C58" s="144"/>
      <c r="D58" s="144"/>
      <c r="E58" s="144"/>
      <c r="F58" s="144"/>
      <c r="G58" s="144"/>
      <c r="H58" s="144"/>
      <c r="I58" s="144"/>
    </row>
  </sheetData>
  <autoFilter ref="A3:J3" xr:uid="{2AC0992D-F276-49FB-8CA7-A7413549ADFD}">
    <sortState xmlns:xlrd2="http://schemas.microsoft.com/office/spreadsheetml/2017/richdata2" ref="A5:J46">
      <sortCondition descending="1" ref="C3"/>
    </sortState>
  </autoFilter>
  <sortState xmlns:xlrd2="http://schemas.microsoft.com/office/spreadsheetml/2017/richdata2" ref="A13:I57">
    <sortCondition descending="1" ref="C13:C57"/>
  </sortState>
  <mergeCells count="5">
    <mergeCell ref="C2:E2"/>
    <mergeCell ref="F2:H2"/>
    <mergeCell ref="B2:B3"/>
    <mergeCell ref="I2:I3"/>
    <mergeCell ref="A2:A3"/>
  </mergeCells>
  <pageMargins left="0.7" right="0.7" top="0.75" bottom="0.75" header="0.3" footer="0.3"/>
  <pageSetup paperSize="9" orientation="portrait" horizontalDpi="4294967294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F214D-2DFE-4755-B0D5-B23BF3F8C42F}">
  <sheetPr codeName="Лист16"/>
  <dimension ref="A1:Q83"/>
  <sheetViews>
    <sheetView topLeftCell="A22" workbookViewId="0">
      <selection activeCell="L55" activeCellId="1" sqref="B55:E55 L55:N55"/>
    </sheetView>
  </sheetViews>
  <sheetFormatPr defaultRowHeight="15" x14ac:dyDescent="0.25"/>
  <cols>
    <col min="2" max="2" width="24.85546875" style="36" customWidth="1"/>
    <col min="3" max="3" width="10.85546875" customWidth="1"/>
    <col min="4" max="4" width="10.85546875" style="45" customWidth="1"/>
    <col min="5" max="5" width="9.140625" style="44"/>
    <col min="6" max="6" width="10.140625" style="44" bestFit="1" customWidth="1"/>
    <col min="8" max="10" width="9.140625" style="45"/>
    <col min="11" max="11" width="10.140625" style="45" bestFit="1" customWidth="1"/>
    <col min="12" max="12" width="10.85546875" style="4" bestFit="1" customWidth="1"/>
    <col min="13" max="13" width="10.85546875" style="4" customWidth="1"/>
    <col min="15" max="15" width="10.140625" style="45" bestFit="1" customWidth="1"/>
    <col min="17" max="17" width="19.140625" style="3" customWidth="1"/>
  </cols>
  <sheetData>
    <row r="1" spans="2:17" s="45" customFormat="1" x14ac:dyDescent="0.25">
      <c r="B1" s="36"/>
      <c r="C1" s="195">
        <v>43282</v>
      </c>
      <c r="D1" s="195"/>
      <c r="E1" s="195"/>
      <c r="F1" s="195"/>
      <c r="G1" s="195"/>
      <c r="H1" s="196">
        <v>43466</v>
      </c>
      <c r="I1" s="196"/>
      <c r="J1" s="196"/>
      <c r="K1" s="196"/>
      <c r="L1" s="195">
        <v>43647</v>
      </c>
      <c r="M1" s="195"/>
      <c r="N1" s="195"/>
      <c r="O1" s="195"/>
      <c r="P1" s="195"/>
      <c r="Q1" s="3"/>
    </row>
    <row r="2" spans="2:17" ht="146.25" x14ac:dyDescent="0.25">
      <c r="C2" s="59" t="s">
        <v>4</v>
      </c>
      <c r="D2" s="59" t="s">
        <v>157</v>
      </c>
      <c r="E2" s="59" t="s">
        <v>2</v>
      </c>
      <c r="F2" s="59" t="s">
        <v>153</v>
      </c>
      <c r="G2" s="59" t="s">
        <v>112</v>
      </c>
      <c r="H2" s="59" t="s">
        <v>4</v>
      </c>
      <c r="I2" s="59" t="s">
        <v>157</v>
      </c>
      <c r="J2" s="59"/>
      <c r="K2" s="59" t="s">
        <v>153</v>
      </c>
      <c r="L2" s="59" t="s">
        <v>4</v>
      </c>
      <c r="M2" s="59" t="s">
        <v>157</v>
      </c>
      <c r="N2" s="59" t="s">
        <v>2</v>
      </c>
      <c r="O2" s="59" t="s">
        <v>153</v>
      </c>
      <c r="P2" s="59" t="s">
        <v>3</v>
      </c>
      <c r="Q2" s="59" t="s">
        <v>27</v>
      </c>
    </row>
    <row r="3" spans="2:17" x14ac:dyDescent="0.25">
      <c r="B3" s="45" t="s">
        <v>71</v>
      </c>
      <c r="C3">
        <f>HLOOKUP(B3,[2]Result!$A$1:$AO$16,3,FALSE)/1000</f>
        <v>877.86599999999999</v>
      </c>
      <c r="D3" s="45">
        <f>HLOOKUP(B3,[2]Result!$A$1:$AO$16,3,FALSE)/1000-HLOOKUP(B3,[2]Result!$A$1:$AO$16,7,FALSE)/1000</f>
        <v>26.77800000000002</v>
      </c>
      <c r="E3" s="44">
        <f>100*(HLOOKUP(B3,[2]Result!$A$1:$AO$16,3,FALSE)-HLOOKUP(B3,[2]Result!$A$1:$AO$16,7,FALSE))/HLOOKUP(B3,[2]Result!$A$1:$AO$16,3,FALSE)</f>
        <v>3.0503516482014339</v>
      </c>
      <c r="G3" s="45">
        <f>HLOOKUP(B3,[2]Result!$A$1:$AO$16,10,FALSE)/1000</f>
        <v>0</v>
      </c>
      <c r="H3" s="45">
        <f>HLOOKUP(B3,[2]Result!$A$1:$AQ$16,4,FALSE)/1000</f>
        <v>1029.845</v>
      </c>
      <c r="I3" s="45">
        <f>HLOOKUP(B3,[2]Result!$A$1:$AO$16,4,FALSE)/1000-HLOOKUP(B3,[2]Result!$A$1:$AO$16,8,FALSE)/1000</f>
        <v>20.533999999999992</v>
      </c>
      <c r="L3" s="4">
        <f>HLOOKUP(B3,[2]Result!$A$1:$AO$16,5,FALSE)/1000</f>
        <v>1133.1320000000001</v>
      </c>
      <c r="M3" s="4">
        <f>HLOOKUP(B3,[2]Result!$A$1:$AO$16,5,FALSE)/1000-HLOOKUP(B3,[2]Result!$A$1:$AO$16,9,FALSE)/1000</f>
        <v>17.683999999999969</v>
      </c>
      <c r="N3">
        <f>100*(HLOOKUP(B3,[2]Result!$A$1:$AO$16,5,FALSE)-HLOOKUP(B3,[2]Result!$A$1:$AO$16,9,FALSE))/HLOOKUP(B3,[2]Result!$A$1:$AO$16,5,FALSE)</f>
        <v>1.5606301825383098</v>
      </c>
      <c r="P3">
        <f>HLOOKUP(B3,[2]Result!$A$1:$AO$16,12,FALSE)/1000</f>
        <v>0</v>
      </c>
      <c r="Q3" s="3">
        <f t="shared" ref="Q3:Q22" si="0">(L3/C3-1)*100</f>
        <v>29.078014184397173</v>
      </c>
    </row>
    <row r="4" spans="2:17" x14ac:dyDescent="0.25">
      <c r="B4" s="45" t="s">
        <v>80</v>
      </c>
      <c r="C4">
        <f>HLOOKUP(B4,[2]Result!$A$1:$AO$16,3,FALSE)/1000</f>
        <v>753.12900000000002</v>
      </c>
      <c r="D4" s="45">
        <f>HLOOKUP(B4,[2]Result!$A$1:$AO$16,3,FALSE)/1000-HLOOKUP(B4,[2]Result!$A$1:$AO$16,7,FALSE)/1000</f>
        <v>10.404999999999973</v>
      </c>
      <c r="E4" s="44">
        <f>100*(HLOOKUP(B4,[2]Result!$A$1:$AO$16,3,FALSE)-HLOOKUP(B4,[2]Result!$A$1:$AO$16,7,FALSE))/HLOOKUP(B4,[2]Result!$A$1:$AO$16,3,FALSE)</f>
        <v>1.3815694256893574</v>
      </c>
      <c r="G4" s="45">
        <f>HLOOKUP(B4,[2]Result!$A$1:$AO$16,10,FALSE)/1000</f>
        <v>22.5</v>
      </c>
      <c r="H4" s="45">
        <f>HLOOKUP(B4,[2]Result!$A$1:$AQ$16,4,FALSE)/1000</f>
        <v>784.90700000000004</v>
      </c>
      <c r="I4" s="45">
        <f>HLOOKUP(B4,[2]Result!$A$1:$AO$16,4,FALSE)/1000-HLOOKUP(B4,[2]Result!$A$1:$AO$16,8,FALSE)/1000</f>
        <v>5.0400000000000773</v>
      </c>
      <c r="L4" s="4">
        <f>HLOOKUP(B4,[2]Result!$A$1:$AO$16,5,FALSE)/1000</f>
        <v>1077.4269999999999</v>
      </c>
      <c r="M4" s="4">
        <f>HLOOKUP(B4,[2]Result!$A$1:$AO$16,5,FALSE)/1000-HLOOKUP(B4,[2]Result!$A$1:$AO$16,9,FALSE)/1000</f>
        <v>20.34699999999998</v>
      </c>
      <c r="N4">
        <f>100*(HLOOKUP(B4,[2]Result!$A$1:$AO$16,5,FALSE)-HLOOKUP(B4,[2]Result!$A$1:$AO$16,9,FALSE))/HLOOKUP(B4,[2]Result!$A$1:$AO$16,5,FALSE)</f>
        <v>1.8884806116794919</v>
      </c>
      <c r="P4">
        <f>HLOOKUP(B4,[2]Result!$A$1:$AO$16,12,FALSE)/1000</f>
        <v>69.167000000000002</v>
      </c>
      <c r="Q4" s="3">
        <f t="shared" si="0"/>
        <v>43.060086651821926</v>
      </c>
    </row>
    <row r="5" spans="2:17" x14ac:dyDescent="0.25">
      <c r="B5" s="45" t="s">
        <v>59</v>
      </c>
      <c r="C5">
        <f>HLOOKUP(B5,[2]Result!$A$1:$AO$16,3,FALSE)/1000</f>
        <v>834.8918000000001</v>
      </c>
      <c r="D5" s="45">
        <f>HLOOKUP(B5,[2]Result!$A$1:$AO$16,3,FALSE)/1000-HLOOKUP(B5,[2]Result!$A$1:$AO$16,7,FALSE)/1000</f>
        <v>2.3674500000000762</v>
      </c>
      <c r="E5" s="44">
        <f>100*(HLOOKUP(B5,[2]Result!$A$1:$AO$16,3,FALSE)-HLOOKUP(B5,[2]Result!$A$1:$AO$16,7,FALSE))/HLOOKUP(B5,[2]Result!$A$1:$AO$16,3,FALSE)</f>
        <v>0.28356369052852953</v>
      </c>
      <c r="G5" s="45">
        <f>HLOOKUP(B5,[2]Result!$A$1:$AO$16,10,FALSE)/1000</f>
        <v>0</v>
      </c>
      <c r="H5" s="45">
        <f>HLOOKUP(B5,[2]Result!$A$1:$AQ$16,4,FALSE)/1000</f>
        <v>972.89559999999994</v>
      </c>
      <c r="I5" s="45">
        <f>HLOOKUP(B5,[2]Result!$A$1:$AO$16,4,FALSE)/1000-HLOOKUP(B5,[2]Result!$A$1:$AO$16,8,FALSE)/1000</f>
        <v>2.5179599999999027</v>
      </c>
      <c r="L5" s="4">
        <f>HLOOKUP(B5,[2]Result!$A$1:$AO$16,5,FALSE)/1000</f>
        <v>1060.7088999999999</v>
      </c>
      <c r="M5" s="4">
        <f>HLOOKUP(B5,[2]Result!$A$1:$AO$16,5,FALSE)/1000-HLOOKUP(B5,[2]Result!$A$1:$AO$16,9,FALSE)/1000</f>
        <v>4.3704399999999168</v>
      </c>
      <c r="N5">
        <f>100*(HLOOKUP(B5,[2]Result!$A$1:$AO$16,5,FALSE)-HLOOKUP(B5,[2]Result!$A$1:$AO$16,9,FALSE))/HLOOKUP(B5,[2]Result!$A$1:$AO$16,5,FALSE)</f>
        <v>0.41203010552659119</v>
      </c>
      <c r="P5">
        <f>HLOOKUP(B5,[2]Result!$A$1:$AO$16,12,FALSE)/1000</f>
        <v>0</v>
      </c>
      <c r="Q5" s="3">
        <f t="shared" si="0"/>
        <v>27.047468905551565</v>
      </c>
    </row>
    <row r="6" spans="2:17" x14ac:dyDescent="0.25">
      <c r="B6" s="45" t="s">
        <v>73</v>
      </c>
      <c r="C6">
        <f>HLOOKUP(B6,[2]Result!$A$1:$AO$16,3,FALSE)/1000</f>
        <v>527.19200000000001</v>
      </c>
      <c r="D6" s="45">
        <f>HLOOKUP(B6,[2]Result!$A$1:$AO$16,3,FALSE)/1000-HLOOKUP(B6,[2]Result!$A$1:$AO$16,7,FALSE)/1000</f>
        <v>4.7190000000000509</v>
      </c>
      <c r="E6" s="44">
        <f>100*(HLOOKUP(B6,[2]Result!$A$1:$AO$16,3,FALSE)-HLOOKUP(B6,[2]Result!$A$1:$AO$16,7,FALSE))/HLOOKUP(B6,[2]Result!$A$1:$AO$16,3,FALSE)</f>
        <v>0.89511980454938622</v>
      </c>
      <c r="G6" s="45">
        <f>HLOOKUP(B6,[2]Result!$A$1:$AO$16,10,FALSE)/1000</f>
        <v>93.649000000000001</v>
      </c>
      <c r="H6" s="45">
        <f>HLOOKUP(B6,[2]Result!$A$1:$AQ$16,4,FALSE)/1000</f>
        <v>585.41300000000001</v>
      </c>
      <c r="I6" s="45">
        <f>HLOOKUP(B6,[2]Result!$A$1:$AO$16,4,FALSE)/1000-HLOOKUP(B6,[2]Result!$A$1:$AO$16,8,FALSE)/1000</f>
        <v>6.0080000000000382</v>
      </c>
      <c r="L6" s="4">
        <f>HLOOKUP(B6,[2]Result!$A$1:$AO$16,5,FALSE)/1000</f>
        <v>928.49900000000002</v>
      </c>
      <c r="M6" s="4">
        <f>HLOOKUP(B6,[2]Result!$A$1:$AO$16,5,FALSE)/1000-HLOOKUP(B6,[2]Result!$A$1:$AO$16,9,FALSE)/1000</f>
        <v>5.0289999999999964</v>
      </c>
      <c r="N6">
        <f>100*(HLOOKUP(B6,[2]Result!$A$1:$AO$16,5,FALSE)-HLOOKUP(B6,[2]Result!$A$1:$AO$16,9,FALSE))/HLOOKUP(B6,[2]Result!$A$1:$AO$16,5,FALSE)</f>
        <v>0.54162686227987322</v>
      </c>
      <c r="P6">
        <f>HLOOKUP(B6,[2]Result!$A$1:$AO$16,12,FALSE)/1000</f>
        <v>220.20699999999999</v>
      </c>
      <c r="Q6" s="3">
        <f t="shared" si="0"/>
        <v>76.121602755732255</v>
      </c>
    </row>
    <row r="7" spans="2:17" x14ac:dyDescent="0.25">
      <c r="B7" s="45" t="s">
        <v>84</v>
      </c>
      <c r="C7">
        <f>HLOOKUP(B7,[2]Result!$A$1:$AO$16,3,FALSE)/1000</f>
        <v>620.04300000000001</v>
      </c>
      <c r="D7" s="45">
        <f>HLOOKUP(B7,[2]Result!$A$1:$AO$16,3,FALSE)/1000-HLOOKUP(B7,[2]Result!$A$1:$AO$16,7,FALSE)/1000</f>
        <v>29.921000000000049</v>
      </c>
      <c r="E7" s="44">
        <f>100*(HLOOKUP(B7,[2]Result!$A$1:$AO$16,3,FALSE)-HLOOKUP(B7,[2]Result!$A$1:$AO$16,7,FALSE))/HLOOKUP(B7,[2]Result!$A$1:$AO$16,3,FALSE)</f>
        <v>4.825633060932871</v>
      </c>
      <c r="G7" s="45">
        <f>HLOOKUP(B7,[2]Result!$A$1:$AO$16,10,FALSE)/1000</f>
        <v>0</v>
      </c>
      <c r="H7" s="45">
        <f>HLOOKUP(B7,[2]Result!$A$1:$AQ$16,4,FALSE)/1000</f>
        <v>671.33</v>
      </c>
      <c r="I7" s="45">
        <f>HLOOKUP(B7,[2]Result!$A$1:$AO$16,4,FALSE)/1000-HLOOKUP(B7,[2]Result!$A$1:$AO$16,8,FALSE)/1000</f>
        <v>19.843000000000075</v>
      </c>
      <c r="L7" s="4">
        <f>HLOOKUP(B7,[2]Result!$A$1:$AO$16,5,FALSE)/1000</f>
        <v>788.375</v>
      </c>
      <c r="M7" s="4">
        <f>HLOOKUP(B7,[2]Result!$A$1:$AO$16,5,FALSE)/1000-HLOOKUP(B7,[2]Result!$A$1:$AO$16,9,FALSE)/1000</f>
        <v>20.385999999999967</v>
      </c>
      <c r="N7">
        <f>100*(HLOOKUP(B7,[2]Result!$A$1:$AO$16,5,FALSE)-HLOOKUP(B7,[2]Result!$A$1:$AO$16,9,FALSE))/HLOOKUP(B7,[2]Result!$A$1:$AO$16,5,FALSE)</f>
        <v>2.5858252735056286</v>
      </c>
      <c r="P7">
        <f>HLOOKUP(B7,[2]Result!$A$1:$AO$16,12,FALSE)/1000</f>
        <v>0</v>
      </c>
      <c r="Q7" s="3">
        <f t="shared" si="0"/>
        <v>27.148439704988192</v>
      </c>
    </row>
    <row r="8" spans="2:17" x14ac:dyDescent="0.25">
      <c r="B8" s="45" t="s">
        <v>75</v>
      </c>
      <c r="C8">
        <f>HLOOKUP(B8,[2]Result!$A$1:$AO$16,3,FALSE)/1000</f>
        <v>547.36599999999999</v>
      </c>
      <c r="D8" s="45">
        <f>HLOOKUP(B8,[2]Result!$A$1:$AO$16,3,FALSE)/1000-HLOOKUP(B8,[2]Result!$A$1:$AO$16,7,FALSE)/1000</f>
        <v>17.523000000000025</v>
      </c>
      <c r="E8" s="44">
        <f>100*(HLOOKUP(B8,[2]Result!$A$1:$AO$16,3,FALSE)-HLOOKUP(B8,[2]Result!$A$1:$AO$16,7,FALSE))/HLOOKUP(B8,[2]Result!$A$1:$AO$16,3,FALSE)</f>
        <v>3.2013314674276443</v>
      </c>
      <c r="G8" s="45">
        <f>HLOOKUP(B8,[2]Result!$A$1:$AO$16,10,FALSE)/1000</f>
        <v>0</v>
      </c>
      <c r="H8" s="45">
        <f>HLOOKUP(B8,[2]Result!$A$1:$AQ$16,4,FALSE)/1000</f>
        <v>572.58500000000004</v>
      </c>
      <c r="I8" s="45">
        <f>HLOOKUP(B8,[2]Result!$A$1:$AO$16,4,FALSE)/1000-HLOOKUP(B8,[2]Result!$A$1:$AO$16,8,FALSE)/1000</f>
        <v>21.038999999999987</v>
      </c>
      <c r="L8" s="4">
        <f>HLOOKUP(B8,[2]Result!$A$1:$AO$16,5,FALSE)/1000</f>
        <v>748.35</v>
      </c>
      <c r="M8" s="4">
        <f>HLOOKUP(B8,[2]Result!$A$1:$AO$16,5,FALSE)/1000-HLOOKUP(B8,[2]Result!$A$1:$AO$16,9,FALSE)/1000</f>
        <v>20.629000000000019</v>
      </c>
      <c r="N8">
        <f>100*(HLOOKUP(B8,[2]Result!$A$1:$AO$16,5,FALSE)-HLOOKUP(B8,[2]Result!$A$1:$AO$16,9,FALSE))/HLOOKUP(B8,[2]Result!$A$1:$AO$16,5,FALSE)</f>
        <v>2.7565978486002538</v>
      </c>
      <c r="P8">
        <f>HLOOKUP(B8,[2]Result!$A$1:$AO$16,12,FALSE)/1000</f>
        <v>0</v>
      </c>
      <c r="Q8" s="3">
        <f t="shared" si="0"/>
        <v>36.71839317750829</v>
      </c>
    </row>
    <row r="9" spans="2:17" x14ac:dyDescent="0.25">
      <c r="B9" s="45" t="s">
        <v>25</v>
      </c>
      <c r="C9" t="e">
        <f>HLOOKUP(B9,#REF!,53,FALSE)/1000</f>
        <v>#REF!</v>
      </c>
      <c r="D9" s="45" t="e">
        <f>(HLOOKUP(B9,#REF!,53,FALSE)-HLOOKUP(B9,#REF!,57,FALSE))/1000</f>
        <v>#REF!</v>
      </c>
      <c r="E9" s="44" t="e">
        <f>100*(HLOOKUP(B9,#REF!,53,FALSE)-HLOOKUP(B9,#REF!,57,FALSE))/HLOOKUP(B9,#REF!,53,FALSE)</f>
        <v>#REF!</v>
      </c>
      <c r="G9" s="21"/>
      <c r="H9" s="45" t="e">
        <f>HLOOKUP(B9,#REF!,54,FALSE)/1000</f>
        <v>#REF!</v>
      </c>
      <c r="I9" s="45" t="e">
        <f>(HLOOKUP(B9,#REF!,54,FALSE)-HLOOKUP(B9,#REF!,58,FALSE))/1000</f>
        <v>#REF!</v>
      </c>
      <c r="J9" s="21"/>
      <c r="K9" s="21"/>
      <c r="L9" s="4" t="e">
        <f>HLOOKUP(B9,#REF!,55,FALSE)/1000</f>
        <v>#REF!</v>
      </c>
      <c r="M9" s="4" t="e">
        <f>(HLOOKUP(B9,#REF!,55,FALSE)-HLOOKUP(B9,#REF!,59,FALSE))/1000</f>
        <v>#REF!</v>
      </c>
      <c r="N9" t="e">
        <f>100*(HLOOKUP(B9,#REF!,55,FALSE)-HLOOKUP(B9,#REF!,59,FALSE))/HLOOKUP(B9,#REF!,55,FALSE)</f>
        <v>#REF!</v>
      </c>
      <c r="Q9" s="3" t="e">
        <f t="shared" si="0"/>
        <v>#REF!</v>
      </c>
    </row>
    <row r="10" spans="2:17" x14ac:dyDescent="0.25">
      <c r="B10" s="45" t="s">
        <v>83</v>
      </c>
      <c r="C10">
        <f>HLOOKUP(B10,[2]Result!$A$1:$AO$16,3,FALSE)/1000</f>
        <v>419.786</v>
      </c>
      <c r="D10" s="45">
        <f>HLOOKUP(B10,[2]Result!$A$1:$AO$16,3,FALSE)/1000-HLOOKUP(B10,[2]Result!$A$1:$AO$16,7,FALSE)/1000</f>
        <v>7.2579999999999814</v>
      </c>
      <c r="E10" s="44">
        <f>100*(HLOOKUP(B10,[2]Result!$A$1:$AO$16,3,FALSE)-HLOOKUP(B10,[2]Result!$A$1:$AO$16,7,FALSE))/HLOOKUP(B10,[2]Result!$A$1:$AO$16,3,FALSE)</f>
        <v>1.7289761926314837</v>
      </c>
      <c r="G10" s="45">
        <f>HLOOKUP(B10,[2]Result!$A$1:$AO$16,10,FALSE)/1000</f>
        <v>16.105</v>
      </c>
      <c r="H10" s="45">
        <f>HLOOKUP(B10,[2]Result!$A$1:$AQ$16,4,FALSE)/1000</f>
        <v>408.22</v>
      </c>
      <c r="I10" s="45">
        <f>HLOOKUP(B10,[2]Result!$A$1:$AO$16,4,FALSE)/1000-HLOOKUP(B10,[2]Result!$A$1:$AO$16,8,FALSE)/1000</f>
        <v>7.5990000000000464</v>
      </c>
      <c r="L10" s="4">
        <f>HLOOKUP(B10,[2]Result!$A$1:$AO$16,5,FALSE)/1000</f>
        <v>514.12</v>
      </c>
      <c r="M10" s="4">
        <f>HLOOKUP(B10,[2]Result!$A$1:$AO$16,5,FALSE)/1000-HLOOKUP(B10,[2]Result!$A$1:$AO$16,9,FALSE)/1000</f>
        <v>7.8260000000000218</v>
      </c>
      <c r="N10">
        <f>100*(HLOOKUP(B10,[2]Result!$A$1:$AO$16,5,FALSE)-HLOOKUP(B10,[2]Result!$A$1:$AO$16,9,FALSE))/HLOOKUP(B10,[2]Result!$A$1:$AO$16,5,FALSE)</f>
        <v>1.5222127129852954</v>
      </c>
      <c r="P10">
        <f>HLOOKUP(B10,[2]Result!$A$1:$AO$16,12,FALSE)/1000</f>
        <v>9.0269999999999992</v>
      </c>
      <c r="Q10" s="3">
        <f t="shared" si="0"/>
        <v>22.471926171906631</v>
      </c>
    </row>
    <row r="11" spans="2:17" x14ac:dyDescent="0.25">
      <c r="B11" s="45" t="s">
        <v>67</v>
      </c>
      <c r="C11">
        <f>HLOOKUP(B11,[2]Result!$A$1:$AO$16,3,FALSE)/1000</f>
        <v>418.56900000000002</v>
      </c>
      <c r="D11" s="45">
        <f>HLOOKUP(B11,[2]Result!$A$1:$AO$16,3,FALSE)/1000-HLOOKUP(B11,[2]Result!$A$1:$AO$16,7,FALSE)/1000</f>
        <v>0.32800000000003138</v>
      </c>
      <c r="E11" s="44">
        <f>100*(HLOOKUP(B11,[2]Result!$A$1:$AO$16,3,FALSE)-HLOOKUP(B11,[2]Result!$A$1:$AO$16,7,FALSE))/HLOOKUP(B11,[2]Result!$A$1:$AO$16,3,FALSE)</f>
        <v>7.8362229405426587E-2</v>
      </c>
      <c r="G11" s="45">
        <f>HLOOKUP(B11,[2]Result!$A$1:$AO$16,10,FALSE)/1000</f>
        <v>0</v>
      </c>
      <c r="H11" s="45">
        <f>HLOOKUP(B11,[2]Result!$A$1:$AQ$16,4,FALSE)/1000</f>
        <v>409.60300000000001</v>
      </c>
      <c r="I11" s="45">
        <f>HLOOKUP(B11,[2]Result!$A$1:$AO$16,4,FALSE)/1000-HLOOKUP(B11,[2]Result!$A$1:$AO$16,8,FALSE)/1000</f>
        <v>0.47800000000000864</v>
      </c>
      <c r="L11" s="4">
        <f>HLOOKUP(B11,[2]Result!$A$1:$AO$16,5,FALSE)/1000</f>
        <v>501.41199999999998</v>
      </c>
      <c r="M11" s="4">
        <f>HLOOKUP(B11,[2]Result!$A$1:$AO$16,5,FALSE)/1000-HLOOKUP(B11,[2]Result!$A$1:$AO$16,9,FALSE)/1000</f>
        <v>0.35199999999997544</v>
      </c>
      <c r="N11">
        <f>100*(HLOOKUP(B11,[2]Result!$A$1:$AO$16,5,FALSE)-HLOOKUP(B11,[2]Result!$A$1:$AO$16,9,FALSE))/HLOOKUP(B11,[2]Result!$A$1:$AO$16,5,FALSE)</f>
        <v>7.020175025727346E-2</v>
      </c>
      <c r="P11">
        <f>HLOOKUP(B11,[2]Result!$A$1:$AO$16,12,FALSE)/1000</f>
        <v>0</v>
      </c>
      <c r="Q11" s="3">
        <f t="shared" si="0"/>
        <v>19.791957837298014</v>
      </c>
    </row>
    <row r="12" spans="2:17" ht="15.75" customHeight="1" x14ac:dyDescent="0.25">
      <c r="B12" s="45" t="s">
        <v>51</v>
      </c>
      <c r="C12">
        <f>HLOOKUP(B12,[2]Result!$A$1:$AO$16,3,FALSE)/1000</f>
        <v>314.34300000000002</v>
      </c>
      <c r="D12" s="45">
        <f>HLOOKUP(B12,[2]Result!$A$1:$AO$16,3,FALSE)/1000-HLOOKUP(B12,[2]Result!$A$1:$AO$16,7,FALSE)/1000</f>
        <v>9.30600000000004</v>
      </c>
      <c r="E12" s="44">
        <f>100*(HLOOKUP(B12,[2]Result!$A$1:$AO$16,3,FALSE)-HLOOKUP(B12,[2]Result!$A$1:$AO$16,7,FALSE))/HLOOKUP(B12,[2]Result!$A$1:$AO$16,3,FALSE)</f>
        <v>2.9604603888109486</v>
      </c>
      <c r="G12" s="45">
        <f>HLOOKUP(B12,[2]Result!$A$1:$AO$16,10,FALSE)/1000</f>
        <v>0</v>
      </c>
      <c r="H12" s="45">
        <f>HLOOKUP(B12,[2]Result!$A$1:$AQ$16,4,FALSE)/1000</f>
        <v>411.71600000000001</v>
      </c>
      <c r="I12" s="45">
        <f>HLOOKUP(B12,[2]Result!$A$1:$AO$16,4,FALSE)/1000-HLOOKUP(B12,[2]Result!$A$1:$AO$16,8,FALSE)/1000</f>
        <v>6.742999999999995</v>
      </c>
      <c r="L12" s="4">
        <f>HLOOKUP(B12,[2]Result!$A$1:$AO$16,5,FALSE)/1000</f>
        <v>479.80900000000003</v>
      </c>
      <c r="M12" s="4">
        <f>HLOOKUP(B12,[2]Result!$A$1:$AO$16,5,FALSE)/1000-HLOOKUP(B12,[2]Result!$A$1:$AO$16,9,FALSE)/1000</f>
        <v>5.2000000000000455</v>
      </c>
      <c r="N12">
        <f>100*(HLOOKUP(B12,[2]Result!$A$1:$AO$16,5,FALSE)-HLOOKUP(B12,[2]Result!$A$1:$AO$16,9,FALSE))/HLOOKUP(B12,[2]Result!$A$1:$AO$16,5,FALSE)</f>
        <v>1.0837645813229848</v>
      </c>
      <c r="P12">
        <f>HLOOKUP(B12,[2]Result!$A$1:$AO$16,12,FALSE)/1000</f>
        <v>0</v>
      </c>
      <c r="Q12" s="3">
        <f t="shared" si="0"/>
        <v>52.638678131849616</v>
      </c>
    </row>
    <row r="13" spans="2:17" x14ac:dyDescent="0.25">
      <c r="B13" s="45" t="s">
        <v>69</v>
      </c>
      <c r="C13">
        <f>HLOOKUP(B13,[2]Result!$A$1:$AO$16,3,FALSE)/1000</f>
        <v>429.44799999999998</v>
      </c>
      <c r="D13" s="45">
        <f>HLOOKUP(B13,[2]Result!$A$1:$AO$16,3,FALSE)/1000-HLOOKUP(B13,[2]Result!$A$1:$AO$16,7,FALSE)/1000</f>
        <v>1.3809999999999718</v>
      </c>
      <c r="E13" s="44">
        <f>100*(HLOOKUP(B13,[2]Result!$A$1:$AO$16,3,FALSE)-HLOOKUP(B13,[2]Result!$A$1:$AO$16,7,FALSE))/HLOOKUP(B13,[2]Result!$A$1:$AO$16,3,FALSE)</f>
        <v>0.32157560403122148</v>
      </c>
      <c r="G13" s="45">
        <f>HLOOKUP(B13,[2]Result!$A$1:$AO$16,10,FALSE)/1000</f>
        <v>0</v>
      </c>
      <c r="H13" s="45">
        <f>HLOOKUP(B13,[2]Result!$A$1:$AQ$16,4,FALSE)/1000</f>
        <v>427.76499999999999</v>
      </c>
      <c r="I13" s="45">
        <f>HLOOKUP(B13,[2]Result!$A$1:$AO$16,4,FALSE)/1000-HLOOKUP(B13,[2]Result!$A$1:$AO$16,8,FALSE)/1000</f>
        <v>2.2179999999999609</v>
      </c>
      <c r="L13" s="4">
        <f>HLOOKUP(B13,[2]Result!$A$1:$AO$16,5,FALSE)/1000</f>
        <v>478.21699999999998</v>
      </c>
      <c r="M13" s="4">
        <f>HLOOKUP(B13,[2]Result!$A$1:$AO$16,5,FALSE)/1000-HLOOKUP(B13,[2]Result!$A$1:$AO$16,9,FALSE)/1000</f>
        <v>2.4069999999999823</v>
      </c>
      <c r="N13">
        <f>100*(HLOOKUP(B13,[2]Result!$A$1:$AO$16,5,FALSE)-HLOOKUP(B13,[2]Result!$A$1:$AO$16,9,FALSE))/HLOOKUP(B13,[2]Result!$A$1:$AO$16,5,FALSE)</f>
        <v>0.50332798708536086</v>
      </c>
      <c r="P13">
        <f>HLOOKUP(B13,[2]Result!$A$1:$AO$16,12,FALSE)/1000</f>
        <v>0</v>
      </c>
      <c r="Q13" s="3">
        <f t="shared" si="0"/>
        <v>11.356206106443612</v>
      </c>
    </row>
    <row r="14" spans="2:17" x14ac:dyDescent="0.25">
      <c r="B14" s="45" t="s">
        <v>82</v>
      </c>
      <c r="C14">
        <f>HLOOKUP(B14,[2]Result!$A$1:$AO$16,3,FALSE)/1000</f>
        <v>423.93799999999999</v>
      </c>
      <c r="D14" s="45">
        <f>HLOOKUP(B14,[2]Result!$A$1:$AO$16,3,FALSE)/1000-HLOOKUP(B14,[2]Result!$A$1:$AO$16,7,FALSE)/1000</f>
        <v>3.8779999999999859</v>
      </c>
      <c r="E14" s="44">
        <f>100*(HLOOKUP(B14,[2]Result!$A$1:$AO$16,3,FALSE)-HLOOKUP(B14,[2]Result!$A$1:$AO$16,7,FALSE))/HLOOKUP(B14,[2]Result!$A$1:$AO$16,3,FALSE)</f>
        <v>0.91475640305893791</v>
      </c>
      <c r="G14" s="45">
        <f>HLOOKUP(B14,[2]Result!$A$1:$AO$16,10,FALSE)/1000</f>
        <v>18.495000000000001</v>
      </c>
      <c r="H14" s="45">
        <f>HLOOKUP(B14,[2]Result!$A$1:$AQ$16,4,FALSE)/1000</f>
        <v>447.49400000000003</v>
      </c>
      <c r="I14" s="45">
        <f>HLOOKUP(B14,[2]Result!$A$1:$AO$16,4,FALSE)/1000-HLOOKUP(B14,[2]Result!$A$1:$AO$16,8,FALSE)/1000</f>
        <v>1.9600000000000364</v>
      </c>
      <c r="L14" s="4">
        <f>HLOOKUP(B14,[2]Result!$A$1:$AO$16,5,FALSE)/1000</f>
        <v>455.363</v>
      </c>
      <c r="M14" s="4">
        <f>HLOOKUP(B14,[2]Result!$A$1:$AO$16,5,FALSE)/1000-HLOOKUP(B14,[2]Result!$A$1:$AO$16,9,FALSE)/1000</f>
        <v>4.5960000000000036</v>
      </c>
      <c r="N14">
        <f>100*(HLOOKUP(B14,[2]Result!$A$1:$AO$16,5,FALSE)-HLOOKUP(B14,[2]Result!$A$1:$AO$16,9,FALSE))/HLOOKUP(B14,[2]Result!$A$1:$AO$16,5,FALSE)</f>
        <v>1.0093046646301962</v>
      </c>
      <c r="P14">
        <f>HLOOKUP(B14,[2]Result!$A$1:$AO$16,12,FALSE)/1000</f>
        <v>4.0880000000000001</v>
      </c>
      <c r="Q14" s="3">
        <f t="shared" si="0"/>
        <v>7.4126405276243146</v>
      </c>
    </row>
    <row r="15" spans="2:17" x14ac:dyDescent="0.25">
      <c r="B15" s="45" t="s">
        <v>53</v>
      </c>
      <c r="C15" s="45">
        <f>HLOOKUP(B15,[2]Result!$A$1:$AO$16,3,FALSE)/1000</f>
        <v>389.63200000000001</v>
      </c>
      <c r="D15" s="45">
        <f>HLOOKUP(B15,[2]Result!$A$1:$AO$16,3,FALSE)/1000-HLOOKUP(B15,[2]Result!$A$1:$AO$16,7,FALSE)/1000</f>
        <v>18.081999999999994</v>
      </c>
      <c r="E15" s="44">
        <f>100*(HLOOKUP(B15,[2]Result!$A$1:$AO$16,3,FALSE)-HLOOKUP(B15,[2]Result!$A$1:$AO$16,7,FALSE))/HLOOKUP(B15,[2]Result!$A$1:$AO$16,3,FALSE)</f>
        <v>4.6407892575558476</v>
      </c>
      <c r="G15">
        <f>HLOOKUP(B15,[2]Result!$A$1:$AO$16,10,FALSE)/1000</f>
        <v>64.72</v>
      </c>
      <c r="H15" s="45">
        <f>HLOOKUP(B15,[2]Result!$A$1:$AQ$16,4,FALSE)/1000</f>
        <v>411.75</v>
      </c>
      <c r="I15" s="45">
        <f>HLOOKUP(B15,[2]Result!$A$1:$AO$16,4,FALSE)/1000-HLOOKUP(B15,[2]Result!$A$1:$AO$16,8,FALSE)/1000</f>
        <v>20.752999999999986</v>
      </c>
      <c r="L15" s="4">
        <f>HLOOKUP(B15,[2]Result!$A$1:$AO$16,5,FALSE)/1000</f>
        <v>449.79199999999997</v>
      </c>
      <c r="M15" s="4">
        <f>HLOOKUP(B15,[2]Result!$A$1:$AO$16,5,FALSE)/1000-HLOOKUP(B15,[2]Result!$A$1:$AO$16,9,FALSE)/1000</f>
        <v>26.486999999999966</v>
      </c>
      <c r="N15">
        <f>100*(HLOOKUP(B15,[2]Result!$A$1:$AO$16,5,FALSE)-HLOOKUP(B15,[2]Result!$A$1:$AO$16,9,FALSE))/HLOOKUP(B15,[2]Result!$A$1:$AO$16,5,FALSE)</f>
        <v>5.8887218981217986</v>
      </c>
      <c r="P15">
        <f>HLOOKUP(B15,[2]Result!$A$1:$AO$16,12,FALSE)/1000</f>
        <v>50.933</v>
      </c>
      <c r="Q15" s="3">
        <f t="shared" si="0"/>
        <v>15.440210249671482</v>
      </c>
    </row>
    <row r="16" spans="2:17" x14ac:dyDescent="0.25">
      <c r="B16" s="45" t="s">
        <v>48</v>
      </c>
      <c r="C16" s="45">
        <f>HLOOKUP(B16,[2]Result!$A$1:$AO$16,3,FALSE)/1000</f>
        <v>426.483</v>
      </c>
      <c r="D16" s="45">
        <f>HLOOKUP(B16,[2]Result!$A$1:$AO$16,3,FALSE)/1000-HLOOKUP(B16,[2]Result!$A$1:$AO$16,7,FALSE)/1000</f>
        <v>9.1340000000000146</v>
      </c>
      <c r="E16" s="44">
        <f>100*(HLOOKUP(B16,[2]Result!$A$1:$AO$16,3,FALSE)-HLOOKUP(B16,[2]Result!$A$1:$AO$16,7,FALSE))/HLOOKUP(B16,[2]Result!$A$1:$AO$16,3,FALSE)</f>
        <v>2.1417031862934746</v>
      </c>
      <c r="G16" s="45">
        <f>HLOOKUP(B16,[2]Result!$A$1:$AO$16,10,FALSE)/1000</f>
        <v>0</v>
      </c>
      <c r="H16" s="45">
        <f>HLOOKUP(B16,[2]Result!$A$1:$AQ$16,4,FALSE)/1000</f>
        <v>420.37299999999999</v>
      </c>
      <c r="I16" s="45">
        <f>HLOOKUP(B16,[2]Result!$A$1:$AO$16,4,FALSE)/1000-HLOOKUP(B16,[2]Result!$A$1:$AO$16,8,FALSE)/1000</f>
        <v>7.9879999999999995</v>
      </c>
      <c r="L16" s="4">
        <f>HLOOKUP(B16,[2]Result!$A$1:$AO$16,5,FALSE)/1000</f>
        <v>445.375</v>
      </c>
      <c r="M16" s="4">
        <f>HLOOKUP(B16,[2]Result!$A$1:$AO$16,5,FALSE)/1000-HLOOKUP(B16,[2]Result!$A$1:$AO$16,9,FALSE)/1000</f>
        <v>9.3159999999999741</v>
      </c>
      <c r="N16" s="45">
        <f>100*(HLOOKUP(B16,[2]Result!$A$1:$AO$16,5,FALSE)-HLOOKUP(B16,[2]Result!$A$1:$AO$16,9,FALSE))/HLOOKUP(B16,[2]Result!$A$1:$AO$16,5,FALSE)</f>
        <v>2.0917204602862758</v>
      </c>
      <c r="P16" s="45">
        <f>HLOOKUP(B16,[2]Result!$A$1:$AO$16,12,FALSE)/1000</f>
        <v>0</v>
      </c>
      <c r="Q16" s="3">
        <f t="shared" si="0"/>
        <v>4.4297193557539138</v>
      </c>
    </row>
    <row r="17" spans="2:17" x14ac:dyDescent="0.25">
      <c r="B17" s="45" t="s">
        <v>63</v>
      </c>
      <c r="C17" s="45">
        <f>HLOOKUP(B17,[2]Result!$A$1:$AO$16,3,FALSE)/1000</f>
        <v>463.65899999999999</v>
      </c>
      <c r="D17" s="45">
        <f>HLOOKUP(B17,[2]Result!$A$1:$AO$16,3,FALSE)/1000-HLOOKUP(B17,[2]Result!$A$1:$AO$16,7,FALSE)/1000</f>
        <v>66.783000000000015</v>
      </c>
      <c r="E17" s="44">
        <f>100*(HLOOKUP(B17,[2]Result!$A$1:$AO$16,3,FALSE)-HLOOKUP(B17,[2]Result!$A$1:$AO$16,7,FALSE))/HLOOKUP(B17,[2]Result!$A$1:$AO$16,3,FALSE)</f>
        <v>14.403473242188763</v>
      </c>
      <c r="G17" s="45">
        <f>HLOOKUP(B17,[2]Result!$A$1:$AO$16,10,FALSE)/1000</f>
        <v>0</v>
      </c>
      <c r="H17" s="45">
        <f>HLOOKUP(B17,[2]Result!$A$1:$AQ$16,4,FALSE)/1000</f>
        <v>407.91</v>
      </c>
      <c r="I17" s="45">
        <f>HLOOKUP(B17,[2]Result!$A$1:$AO$16,4,FALSE)/1000-HLOOKUP(B17,[2]Result!$A$1:$AO$16,8,FALSE)/1000</f>
        <v>73.69300000000004</v>
      </c>
      <c r="L17" s="4">
        <f>HLOOKUP(B17,[2]Result!$A$1:$AO$16,5,FALSE)/1000</f>
        <v>408.452</v>
      </c>
      <c r="M17" s="4">
        <f>HLOOKUP(B17,[2]Result!$A$1:$AO$16,5,FALSE)/1000-HLOOKUP(B17,[2]Result!$A$1:$AO$16,9,FALSE)/1000</f>
        <v>66.223000000000013</v>
      </c>
      <c r="N17" s="45">
        <f>100*(HLOOKUP(B17,[2]Result!$A$1:$AO$16,5,FALSE)-HLOOKUP(B17,[2]Result!$A$1:$AO$16,9,FALSE))/HLOOKUP(B17,[2]Result!$A$1:$AO$16,5,FALSE)</f>
        <v>16.213165806508474</v>
      </c>
      <c r="P17" s="45">
        <f>HLOOKUP(B17,[2]Result!$A$1:$AO$16,12,FALSE)/1000</f>
        <v>0</v>
      </c>
      <c r="Q17" s="3">
        <f t="shared" si="0"/>
        <v>-11.906810824334258</v>
      </c>
    </row>
    <row r="18" spans="2:17" x14ac:dyDescent="0.25">
      <c r="B18" s="45" t="s">
        <v>54</v>
      </c>
      <c r="C18" s="45">
        <f>HLOOKUP(B18,[2]Result!$A$1:$AO$16,3,FALSE)/1000</f>
        <v>320.69299999999998</v>
      </c>
      <c r="D18" s="45">
        <f>HLOOKUP(B18,[2]Result!$A$1:$AO$16,3,FALSE)/1000-HLOOKUP(B18,[2]Result!$A$1:$AO$16,7,FALSE)/1000</f>
        <v>15.752999999999986</v>
      </c>
      <c r="E18" s="44">
        <f>100*(HLOOKUP(B18,[2]Result!$A$1:$AO$16,3,FALSE)-HLOOKUP(B18,[2]Result!$A$1:$AO$16,7,FALSE))/HLOOKUP(B18,[2]Result!$A$1:$AO$16,3,FALSE)</f>
        <v>4.9121745719426366</v>
      </c>
      <c r="G18" s="45">
        <f>HLOOKUP(B18,[2]Result!$A$1:$AO$16,10,FALSE)/1000</f>
        <v>0</v>
      </c>
      <c r="H18" s="45">
        <f>HLOOKUP(B18,[2]Result!$A$1:$AQ$16,4,FALSE)/1000</f>
        <v>334.43900000000002</v>
      </c>
      <c r="I18" s="45">
        <f>HLOOKUP(B18,[2]Result!$A$1:$AO$16,4,FALSE)/1000-HLOOKUP(B18,[2]Result!$A$1:$AO$16,8,FALSE)/1000</f>
        <v>20.122000000000014</v>
      </c>
      <c r="L18" s="4">
        <f>HLOOKUP(B18,[2]Result!$A$1:$AO$16,5,FALSE)/1000</f>
        <v>395.45299999999997</v>
      </c>
      <c r="M18" s="4">
        <f>HLOOKUP(B18,[2]Result!$A$1:$AO$16,5,FALSE)/1000-HLOOKUP(B18,[2]Result!$A$1:$AO$16,9,FALSE)/1000</f>
        <v>20.527999999999963</v>
      </c>
      <c r="N18" s="45">
        <f>100*(HLOOKUP(B18,[2]Result!$A$1:$AO$16,5,FALSE)-HLOOKUP(B18,[2]Result!$A$1:$AO$16,9,FALSE))/HLOOKUP(B18,[2]Result!$A$1:$AO$16,5,FALSE)</f>
        <v>5.1910087924481543</v>
      </c>
      <c r="P18" s="45">
        <f>HLOOKUP(B18,[2]Result!$A$1:$AO$16,12,FALSE)/1000</f>
        <v>0</v>
      </c>
      <c r="Q18" s="3">
        <f t="shared" si="0"/>
        <v>23.312014917693858</v>
      </c>
    </row>
    <row r="19" spans="2:17" x14ac:dyDescent="0.25">
      <c r="B19" s="45" t="s">
        <v>66</v>
      </c>
      <c r="C19" s="45">
        <f>HLOOKUP(B19,[2]Result!$A$1:$AO$16,3,FALSE)/1000</f>
        <v>356.20699999999999</v>
      </c>
      <c r="D19" s="45">
        <f>HLOOKUP(B19,[2]Result!$A$1:$AO$16,3,FALSE)/1000-HLOOKUP(B19,[2]Result!$A$1:$AO$16,7,FALSE)/1000</f>
        <v>4.5960000000000036</v>
      </c>
      <c r="E19" s="44">
        <f>100*(HLOOKUP(B19,[2]Result!$A$1:$AO$16,3,FALSE)-HLOOKUP(B19,[2]Result!$A$1:$AO$16,7,FALSE))/HLOOKUP(B19,[2]Result!$A$1:$AO$16,3,FALSE)</f>
        <v>1.2902609999242014</v>
      </c>
      <c r="G19" s="45">
        <f>HLOOKUP(B19,[2]Result!$A$1:$AO$16,10,FALSE)/1000</f>
        <v>1.0740000000000001</v>
      </c>
      <c r="H19" s="45">
        <f>HLOOKUP(B19,[2]Result!$A$1:$AQ$16,4,FALSE)/1000</f>
        <v>372.99900000000002</v>
      </c>
      <c r="I19" s="45">
        <f>HLOOKUP(B19,[2]Result!$A$1:$AO$16,4,FALSE)/1000-HLOOKUP(B19,[2]Result!$A$1:$AO$16,8,FALSE)/1000</f>
        <v>5.4680000000000177</v>
      </c>
      <c r="L19" s="4">
        <f>HLOOKUP(B19,[2]Result!$A$1:$AO$16,5,FALSE)/1000</f>
        <v>394.036</v>
      </c>
      <c r="M19" s="4">
        <f>HLOOKUP(B19,[2]Result!$A$1:$AO$16,5,FALSE)/1000-HLOOKUP(B19,[2]Result!$A$1:$AO$16,9,FALSE)/1000</f>
        <v>9.5889999999999986</v>
      </c>
      <c r="N19" s="45">
        <f>100*(HLOOKUP(B19,[2]Result!$A$1:$AO$16,5,FALSE)-HLOOKUP(B19,[2]Result!$A$1:$AO$16,9,FALSE))/HLOOKUP(B19,[2]Result!$A$1:$AO$16,5,FALSE)</f>
        <v>2.4335339918180066</v>
      </c>
      <c r="P19" s="45">
        <f>HLOOKUP(B19,[2]Result!$A$1:$AO$16,12,FALSE)/1000</f>
        <v>1.0660000000000001</v>
      </c>
      <c r="Q19" s="3">
        <f t="shared" si="0"/>
        <v>10.619948513083678</v>
      </c>
    </row>
    <row r="20" spans="2:17" x14ac:dyDescent="0.25">
      <c r="B20" s="45" t="s">
        <v>60</v>
      </c>
      <c r="C20" s="45">
        <f>HLOOKUP(B20,[2]Result!$A$1:$AO$16,3,FALSE)/1000</f>
        <v>313.96625</v>
      </c>
      <c r="D20" s="45">
        <f>HLOOKUP(B20,[2]Result!$A$1:$AO$16,3,FALSE)/1000-HLOOKUP(B20,[2]Result!$A$1:$AO$16,7,FALSE)/1000</f>
        <v>14.663690000000031</v>
      </c>
      <c r="E20" s="44">
        <f>100*(HLOOKUP(B20,[2]Result!$A$1:$AO$16,3,FALSE)-HLOOKUP(B20,[2]Result!$A$1:$AO$16,7,FALSE))/HLOOKUP(B20,[2]Result!$A$1:$AO$16,3,FALSE)</f>
        <v>4.6704669689815397</v>
      </c>
      <c r="G20" s="45">
        <f>HLOOKUP(B20,[2]Result!$A$1:$AO$16,10,FALSE)/1000</f>
        <v>18.384880000000003</v>
      </c>
      <c r="H20" s="45">
        <f>HLOOKUP(B20,[2]Result!$A$1:$AQ$16,4,FALSE)/1000</f>
        <v>322.77593000000002</v>
      </c>
      <c r="I20" s="45">
        <f>HLOOKUP(B20,[2]Result!$A$1:$AO$16,4,FALSE)/1000-HLOOKUP(B20,[2]Result!$A$1:$AO$16,8,FALSE)/1000</f>
        <v>11.930430000000001</v>
      </c>
      <c r="L20" s="4">
        <f>HLOOKUP(B20,[2]Result!$A$1:$AO$16,5,FALSE)/1000</f>
        <v>323.68115999999998</v>
      </c>
      <c r="M20" s="4">
        <f>HLOOKUP(B20,[2]Result!$A$1:$AO$16,5,FALSE)/1000-HLOOKUP(B20,[2]Result!$A$1:$AO$16,9,FALSE)/1000</f>
        <v>12.92900000000003</v>
      </c>
      <c r="N20" s="45">
        <f>100*(HLOOKUP(B20,[2]Result!$A$1:$AO$16,5,FALSE)-HLOOKUP(B20,[2]Result!$A$1:$AO$16,9,FALSE))/HLOOKUP(B20,[2]Result!$A$1:$AO$16,5,FALSE)</f>
        <v>3.9943628476862854</v>
      </c>
      <c r="P20" s="45">
        <f>HLOOKUP(B20,[2]Result!$A$1:$AO$16,12,FALSE)/1000</f>
        <v>4.5201199999999995</v>
      </c>
      <c r="Q20" s="3">
        <f t="shared" si="0"/>
        <v>3.094252965087807</v>
      </c>
    </row>
    <row r="21" spans="2:17" x14ac:dyDescent="0.25">
      <c r="B21" s="45" t="s">
        <v>49</v>
      </c>
      <c r="C21" s="45">
        <f>HLOOKUP(B21,[2]Result!$A$1:$AO$16,3,FALSE)/1000</f>
        <v>248.898</v>
      </c>
      <c r="D21" s="45">
        <f>HLOOKUP(B21,[2]Result!$A$1:$AO$16,3,FALSE)/1000-HLOOKUP(B21,[2]Result!$A$1:$AO$16,7,FALSE)/1000</f>
        <v>84.204000000000008</v>
      </c>
      <c r="E21" s="44">
        <f>100*(HLOOKUP(B21,[2]Result!$A$1:$AO$16,3,FALSE)-HLOOKUP(B21,[2]Result!$A$1:$AO$16,7,FALSE))/HLOOKUP(B21,[2]Result!$A$1:$AO$16,3,FALSE)</f>
        <v>33.830725839500516</v>
      </c>
      <c r="G21" s="45">
        <f>HLOOKUP(B21,[2]Result!$A$1:$AO$16,10,FALSE)/1000</f>
        <v>0</v>
      </c>
      <c r="H21" s="45">
        <f>HLOOKUP(B21,[2]Result!$A$1:$AQ$16,4,FALSE)/1000</f>
        <v>266.43099999999998</v>
      </c>
      <c r="I21" s="45">
        <f>HLOOKUP(B21,[2]Result!$A$1:$AO$16,4,FALSE)/1000-HLOOKUP(B21,[2]Result!$A$1:$AO$16,8,FALSE)/1000</f>
        <v>73.270999999999987</v>
      </c>
      <c r="L21" s="4">
        <f>HLOOKUP(B21,[2]Result!$A$1:$AO$16,5,FALSE)/1000</f>
        <v>305.58300000000003</v>
      </c>
      <c r="M21" s="4">
        <f>HLOOKUP(B21,[2]Result!$A$1:$AO$16,5,FALSE)/1000-HLOOKUP(B21,[2]Result!$A$1:$AO$16,9,FALSE)/1000</f>
        <v>57.133000000000038</v>
      </c>
      <c r="N21" s="45">
        <f>100*(HLOOKUP(B21,[2]Result!$A$1:$AO$16,5,FALSE)-HLOOKUP(B21,[2]Result!$A$1:$AO$16,9,FALSE))/HLOOKUP(B21,[2]Result!$A$1:$AO$16,5,FALSE)</f>
        <v>18.696393451206383</v>
      </c>
      <c r="P21" s="45">
        <f>HLOOKUP(B21,[2]Result!$A$1:$AO$16,12,FALSE)/1000</f>
        <v>0</v>
      </c>
      <c r="Q21" s="3">
        <f t="shared" si="0"/>
        <v>22.774389508955494</v>
      </c>
    </row>
    <row r="22" spans="2:17" x14ac:dyDescent="0.25">
      <c r="B22" s="45" t="s">
        <v>52</v>
      </c>
      <c r="C22" s="45">
        <f>HLOOKUP(B22,[2]Result!$A$1:$AO$16,3,FALSE)/1000</f>
        <v>153.93100000000001</v>
      </c>
      <c r="D22" s="45">
        <f>HLOOKUP(B22,[2]Result!$A$1:$AO$16,3,FALSE)/1000-HLOOKUP(B22,[2]Result!$A$1:$AO$16,7,FALSE)/1000</f>
        <v>7.88900000000001</v>
      </c>
      <c r="E22" s="44">
        <f>100*(HLOOKUP(B22,[2]Result!$A$1:$AO$16,3,FALSE)-HLOOKUP(B22,[2]Result!$A$1:$AO$16,7,FALSE))/HLOOKUP(B22,[2]Result!$A$1:$AO$16,3,FALSE)</f>
        <v>5.1250235495124441</v>
      </c>
      <c r="G22" s="45">
        <f>HLOOKUP(B22,[2]Result!$A$1:$AO$16,10,FALSE)/1000</f>
        <v>7.3280000000000003</v>
      </c>
      <c r="H22" s="45">
        <f>HLOOKUP(B22,[2]Result!$A$1:$AQ$16,4,FALSE)/1000</f>
        <v>156.214</v>
      </c>
      <c r="I22" s="45">
        <f>HLOOKUP(B22,[2]Result!$A$1:$AO$16,4,FALSE)/1000-HLOOKUP(B22,[2]Result!$A$1:$AO$16,8,FALSE)/1000</f>
        <v>7.38900000000001</v>
      </c>
      <c r="L22" s="4">
        <f>HLOOKUP(B22,[2]Result!$A$1:$AO$16,5,FALSE)/1000</f>
        <v>280.39299999999997</v>
      </c>
      <c r="M22" s="4">
        <f>HLOOKUP(B22,[2]Result!$A$1:$AO$16,5,FALSE)/1000-HLOOKUP(B22,[2]Result!$A$1:$AO$16,9,FALSE)/1000</f>
        <v>5.3919999999999959</v>
      </c>
      <c r="N22" s="45">
        <f>100*(HLOOKUP(B22,[2]Result!$A$1:$AO$16,5,FALSE)-HLOOKUP(B22,[2]Result!$A$1:$AO$16,9,FALSE))/HLOOKUP(B22,[2]Result!$A$1:$AO$16,5,FALSE)</f>
        <v>1.9230151965277307</v>
      </c>
      <c r="P22" s="45">
        <f>HLOOKUP(B22,[2]Result!$A$1:$AO$16,12,FALSE)/1000</f>
        <v>2.1560000000000001</v>
      </c>
      <c r="Q22" s="3">
        <f t="shared" si="0"/>
        <v>82.154991522175493</v>
      </c>
    </row>
    <row r="23" spans="2:17" x14ac:dyDescent="0.25">
      <c r="B23" s="45" t="s">
        <v>79</v>
      </c>
      <c r="C23" s="45">
        <f>HLOOKUP(B23,[2]Result!$A$1:$AO$16,3,FALSE)/1000</f>
        <v>180.73699999999999</v>
      </c>
      <c r="D23" s="45">
        <f>HLOOKUP(B23,[2]Result!$A$1:$AO$16,3,FALSE)/1000-HLOOKUP(B23,[2]Result!$A$1:$AO$16,7,FALSE)/1000</f>
        <v>15.140999999999991</v>
      </c>
      <c r="E23" s="44">
        <f>100*(HLOOKUP(B23,[2]Result!$A$1:$AO$16,3,FALSE)-HLOOKUP(B23,[2]Result!$A$1:$AO$16,7,FALSE))/HLOOKUP(B23,[2]Result!$A$1:$AO$16,3,FALSE)</f>
        <v>8.3773660069603899</v>
      </c>
      <c r="G23" s="45">
        <f>HLOOKUP(B23,[2]Result!$A$1:$AO$16,10,FALSE)/1000</f>
        <v>0</v>
      </c>
      <c r="H23" s="45">
        <f>HLOOKUP(B23,[2]Result!$A$1:$AQ$16,4,FALSE)/1000</f>
        <v>223.67099999999999</v>
      </c>
      <c r="I23" s="45">
        <f>HLOOKUP(B23,[2]Result!$A$1:$AO$16,4,FALSE)/1000-HLOOKUP(B23,[2]Result!$A$1:$AO$16,8,FALSE)/1000</f>
        <v>10.151999999999987</v>
      </c>
      <c r="L23" s="4">
        <f>HLOOKUP(B23,[2]Result!$A$1:$AO$16,5,FALSE)/1000</f>
        <v>279.86700000000002</v>
      </c>
      <c r="M23" s="4">
        <f>HLOOKUP(B23,[2]Result!$A$1:$AO$16,5,FALSE)/1000-HLOOKUP(B23,[2]Result!$A$1:$AO$16,9,FALSE)/1000</f>
        <v>3.6700000000000159</v>
      </c>
      <c r="N23" s="45">
        <f>100*(HLOOKUP(B23,[2]Result!$A$1:$AO$16,5,FALSE)-HLOOKUP(B23,[2]Result!$A$1:$AO$16,9,FALSE))/HLOOKUP(B23,[2]Result!$A$1:$AO$16,5,FALSE)</f>
        <v>1.3113371708704491</v>
      </c>
      <c r="P23" s="45">
        <f>HLOOKUP(B23,[2]Result!$A$1:$AO$16,12,FALSE)/1000</f>
        <v>0</v>
      </c>
    </row>
    <row r="24" spans="2:17" x14ac:dyDescent="0.25">
      <c r="B24" s="45" t="s">
        <v>56</v>
      </c>
      <c r="C24" s="45">
        <f>HLOOKUP(B24,[2]Result!$A$1:$AO$16,3,FALSE)/1000</f>
        <v>260.44600000000003</v>
      </c>
      <c r="D24" s="45">
        <f>HLOOKUP(B24,[2]Result!$A$1:$AO$16,3,FALSE)/1000-HLOOKUP(B24,[2]Result!$A$1:$AO$16,7,FALSE)/1000</f>
        <v>0.43600000000003547</v>
      </c>
      <c r="E24" s="44">
        <f>100*(HLOOKUP(B24,[2]Result!$A$1:$AO$16,3,FALSE)-HLOOKUP(B24,[2]Result!$A$1:$AO$16,7,FALSE))/HLOOKUP(B24,[2]Result!$A$1:$AO$16,3,FALSE)</f>
        <v>0.16740514348463789</v>
      </c>
      <c r="G24" s="45">
        <f>HLOOKUP(B24,[2]Result!$A$1:$AO$16,10,FALSE)/1000</f>
        <v>0</v>
      </c>
      <c r="H24" s="45">
        <f>HLOOKUP(B24,[2]Result!$A$1:$AQ$16,4,FALSE)/1000</f>
        <v>277.21499999999997</v>
      </c>
      <c r="I24" s="45">
        <f>HLOOKUP(B24,[2]Result!$A$1:$AO$16,4,FALSE)/1000-HLOOKUP(B24,[2]Result!$A$1:$AO$16,8,FALSE)/1000</f>
        <v>0</v>
      </c>
      <c r="L24" s="4">
        <f>HLOOKUP(B24,[2]Result!$A$1:$AO$16,5,FALSE)/1000</f>
        <v>279.50099999999998</v>
      </c>
      <c r="M24" s="4">
        <f>HLOOKUP(B24,[2]Result!$A$1:$AO$16,5,FALSE)/1000-HLOOKUP(B24,[2]Result!$A$1:$AO$16,9,FALSE)/1000</f>
        <v>2.3209999999999695</v>
      </c>
      <c r="N24" s="45">
        <f>100*(HLOOKUP(B24,[2]Result!$A$1:$AO$16,5,FALSE)-HLOOKUP(B24,[2]Result!$A$1:$AO$16,9,FALSE))/HLOOKUP(B24,[2]Result!$A$1:$AO$16,5,FALSE)</f>
        <v>0.83040847796608952</v>
      </c>
      <c r="P24" s="45">
        <f>HLOOKUP(B24,[2]Result!$A$1:$AO$16,12,FALSE)/1000</f>
        <v>0</v>
      </c>
      <c r="Q24" s="3">
        <f t="shared" ref="Q24:Q46" si="1">(L24/C24-1)*100</f>
        <v>7.3162958924306576</v>
      </c>
    </row>
    <row r="25" spans="2:17" x14ac:dyDescent="0.25">
      <c r="B25" s="45" t="s">
        <v>74</v>
      </c>
      <c r="C25" s="45">
        <f>HLOOKUP(B25,[2]Result!$A$1:$AO$16,3,FALSE)/1000</f>
        <v>245.78</v>
      </c>
      <c r="D25" s="45">
        <f>HLOOKUP(B25,[2]Result!$A$1:$AO$16,3,FALSE)/1000-HLOOKUP(B25,[2]Result!$A$1:$AO$16,7,FALSE)/1000</f>
        <v>4.3650000000000091</v>
      </c>
      <c r="E25" s="44">
        <f>100*(HLOOKUP(B25,[2]Result!$A$1:$AO$16,3,FALSE)-HLOOKUP(B25,[2]Result!$A$1:$AO$16,7,FALSE))/HLOOKUP(B25,[2]Result!$A$1:$AO$16,3,FALSE)</f>
        <v>1.7759785173732607</v>
      </c>
      <c r="G25" s="45">
        <f>HLOOKUP(B25,[2]Result!$A$1:$AO$16,10,FALSE)/1000</f>
        <v>0</v>
      </c>
      <c r="H25" s="45">
        <f>HLOOKUP(B25,[2]Result!$A$1:$AQ$16,4,FALSE)/1000</f>
        <v>252.58500000000001</v>
      </c>
      <c r="I25" s="45">
        <f>HLOOKUP(B25,[2]Result!$A$1:$AO$16,4,FALSE)/1000-HLOOKUP(B25,[2]Result!$A$1:$AO$16,8,FALSE)/1000</f>
        <v>1.5790000000000077</v>
      </c>
      <c r="L25" s="4">
        <f>HLOOKUP(B25,[2]Result!$A$1:$AO$16,5,FALSE)/1000</f>
        <v>262.57299999999998</v>
      </c>
      <c r="M25" s="4">
        <f>HLOOKUP(B25,[2]Result!$A$1:$AO$16,5,FALSE)/1000-HLOOKUP(B25,[2]Result!$A$1:$AO$16,9,FALSE)/1000</f>
        <v>5.3299999999999841</v>
      </c>
      <c r="N25" s="45">
        <f>100*(HLOOKUP(B25,[2]Result!$A$1:$AO$16,5,FALSE)-HLOOKUP(B25,[2]Result!$A$1:$AO$16,9,FALSE))/HLOOKUP(B25,[2]Result!$A$1:$AO$16,5,FALSE)</f>
        <v>2.0299116817037546</v>
      </c>
      <c r="P25" s="45">
        <f>HLOOKUP(B25,[2]Result!$A$1:$AO$16,12,FALSE)/1000</f>
        <v>0</v>
      </c>
      <c r="Q25" s="3">
        <f t="shared" si="1"/>
        <v>6.8325331597363315</v>
      </c>
    </row>
    <row r="26" spans="2:17" x14ac:dyDescent="0.25">
      <c r="B26" s="45" t="s">
        <v>72</v>
      </c>
      <c r="C26" s="45">
        <f>HLOOKUP(B26,[2]Result!$A$1:$AO$16,3,FALSE)/1000</f>
        <v>206.14500000000001</v>
      </c>
      <c r="D26" s="45">
        <f>HLOOKUP(B26,[2]Result!$A$1:$AO$16,3,FALSE)/1000-HLOOKUP(B26,[2]Result!$A$1:$AO$16,7,FALSE)/1000</f>
        <v>15.187000000000012</v>
      </c>
      <c r="E26" s="44">
        <f>100*(HLOOKUP(B26,[2]Result!$A$1:$AO$16,3,FALSE)-HLOOKUP(B26,[2]Result!$A$1:$AO$16,7,FALSE))/HLOOKUP(B26,[2]Result!$A$1:$AO$16,3,FALSE)</f>
        <v>7.3671444856775574</v>
      </c>
      <c r="G26" s="45">
        <f>HLOOKUP(B26,[2]Result!$A$1:$AO$16,10,FALSE)/1000</f>
        <v>0</v>
      </c>
      <c r="H26" s="45">
        <f>HLOOKUP(B26,[2]Result!$A$1:$AQ$16,4,FALSE)/1000</f>
        <v>192.04499999999999</v>
      </c>
      <c r="I26" s="45">
        <f>HLOOKUP(B26,[2]Result!$A$1:$AO$16,4,FALSE)/1000-HLOOKUP(B26,[2]Result!$A$1:$AO$16,8,FALSE)/1000</f>
        <v>8.6519999999999868</v>
      </c>
      <c r="L26" s="4">
        <f>HLOOKUP(B26,[2]Result!$A$1:$AO$16,5,FALSE)/1000</f>
        <v>252.55199999999999</v>
      </c>
      <c r="M26" s="4">
        <f>HLOOKUP(B26,[2]Result!$A$1:$AO$16,5,FALSE)/1000-HLOOKUP(B26,[2]Result!$A$1:$AO$16,9,FALSE)/1000</f>
        <v>15.251000000000005</v>
      </c>
      <c r="N26" s="45">
        <f>100*(HLOOKUP(B26,[2]Result!$A$1:$AO$16,5,FALSE)-HLOOKUP(B26,[2]Result!$A$1:$AO$16,9,FALSE))/HLOOKUP(B26,[2]Result!$A$1:$AO$16,5,FALSE)</f>
        <v>6.0387563749247679</v>
      </c>
      <c r="P26" s="45">
        <f>HLOOKUP(B26,[2]Result!$A$1:$AO$16,12,FALSE)/1000</f>
        <v>0</v>
      </c>
      <c r="Q26" s="3">
        <f t="shared" si="1"/>
        <v>22.511824201411624</v>
      </c>
    </row>
    <row r="27" spans="2:17" x14ac:dyDescent="0.25">
      <c r="B27" s="45" t="s">
        <v>86</v>
      </c>
      <c r="C27" s="45">
        <f>HLOOKUP(B27,[2]Result!$A$1:$AQ$16,3,FALSE)/1000</f>
        <v>183.589</v>
      </c>
      <c r="D27" s="45">
        <f>HLOOKUP(B27,[2]Result!$A$1:$AQ$16,3,FALSE)/1000-HLOOKUP(B27,[2]Result!$A$1:$AQ$16,7,FALSE)/1000</f>
        <v>41.930000000000007</v>
      </c>
      <c r="E27" s="44">
        <f>100*(HLOOKUP(B27,[2]Result!$A$1:$AQ$16,3,FALSE)-HLOOKUP(B27,[2]Result!$A$1:$AQ$16,7,FALSE))/HLOOKUP(B27,[2]Result!$A$1:$AQ$16,3,FALSE)</f>
        <v>22.839058985015441</v>
      </c>
      <c r="G27" s="45">
        <f>HLOOKUP(B27,[2]Result!$A$1:$AQ$16,10,FALSE)/1000</f>
        <v>277.30599999999998</v>
      </c>
      <c r="H27" s="45">
        <f>HLOOKUP(B27,[2]Result!$A$1:$AQ$16,4,FALSE)/1000</f>
        <v>190.49100000000001</v>
      </c>
      <c r="I27" s="45">
        <f>HLOOKUP(B27,[2]Result!$A$1:$AQ$16,4,FALSE)/1000-HLOOKUP(B27,[2]Result!$A$1:$AQ$16,8,FALSE)/1000</f>
        <v>13.733000000000004</v>
      </c>
      <c r="L27" s="4">
        <f>HLOOKUP(B27,[2]Result!$A$1:$AQ$16,5,FALSE)/1000</f>
        <v>228.297</v>
      </c>
      <c r="M27" s="4">
        <f>HLOOKUP(B27,[2]Result!$A$1:$AQ$16,5,FALSE)/1000-HLOOKUP(B27,[2]Result!$A$1:$AQ$16,9,FALSE)/1000</f>
        <v>8.7690000000000055</v>
      </c>
      <c r="N27" s="45">
        <f>100*(HLOOKUP(B27,[2]Result!$A$1:$AQ$16,5,FALSE)-HLOOKUP(B27,[2]Result!$A$1:$AQ$16,9,FALSE))/HLOOKUP(B27,[2]Result!$A$1:$AQ$16,5,FALSE)</f>
        <v>3.8410491596473015</v>
      </c>
      <c r="P27" s="45">
        <f>HLOOKUP(B27,[2]Result!$A$1:$AQ$16,12,FALSE)/1000</f>
        <v>181.87</v>
      </c>
      <c r="Q27" s="3">
        <f t="shared" si="1"/>
        <v>24.352221538327456</v>
      </c>
    </row>
    <row r="28" spans="2:17" x14ac:dyDescent="0.25">
      <c r="B28" s="45" t="s">
        <v>78</v>
      </c>
      <c r="C28" s="45">
        <f>HLOOKUP(B28,[2]Result!$A$1:$AO$16,3,FALSE)/1000</f>
        <v>159.78550000000001</v>
      </c>
      <c r="D28" s="45">
        <f>HLOOKUP(B28,[2]Result!$A$1:$AO$16,3,FALSE)/1000-HLOOKUP(B28,[2]Result!$A$1:$AO$16,7,FALSE)/1000</f>
        <v>3.0142999999999915</v>
      </c>
      <c r="E28" s="44">
        <f>100*(HLOOKUP(B28,[2]Result!$A$1:$AO$16,3,FALSE)-HLOOKUP(B28,[2]Result!$A$1:$AO$16,7,FALSE))/HLOOKUP(B28,[2]Result!$A$1:$AO$16,3,FALSE)</f>
        <v>1.8864665442108253</v>
      </c>
      <c r="G28" s="45">
        <f>HLOOKUP(B28,[2]Result!$A$1:$AO$16,10,FALSE)/1000</f>
        <v>7.6105</v>
      </c>
      <c r="H28" s="45">
        <f>HLOOKUP(B28,[2]Result!$A$1:$AQ$16,4,FALSE)/1000</f>
        <v>161.62799999999999</v>
      </c>
      <c r="I28" s="45">
        <f>HLOOKUP(B28,[2]Result!$A$1:$AO$16,4,FALSE)/1000-HLOOKUP(B28,[2]Result!$A$1:$AO$16,8,FALSE)/1000</f>
        <v>2.3849999999999909</v>
      </c>
      <c r="L28" s="4">
        <f>HLOOKUP(B28,[2]Result!$A$1:$AO$16,5,FALSE)/1000</f>
        <v>217.102</v>
      </c>
      <c r="M28" s="4">
        <f>HLOOKUP(B28,[2]Result!$A$1:$AO$16,5,FALSE)/1000-HLOOKUP(B28,[2]Result!$A$1:$AO$16,9,FALSE)/1000</f>
        <v>7.0180000000000007</v>
      </c>
      <c r="N28" s="45">
        <f>100*(HLOOKUP(B28,[2]Result!$A$1:$AO$16,5,FALSE)-HLOOKUP(B28,[2]Result!$A$1:$AO$16,9,FALSE))/HLOOKUP(B28,[2]Result!$A$1:$AO$16,5,FALSE)</f>
        <v>3.2325819200191614</v>
      </c>
      <c r="P28" s="45">
        <f>HLOOKUP(B28,[2]Result!$A$1:$AO$16,12,FALSE)/1000</f>
        <v>4.4379999999999997</v>
      </c>
      <c r="Q28" s="3">
        <f t="shared" si="1"/>
        <v>35.87090192789708</v>
      </c>
    </row>
    <row r="29" spans="2:17" x14ac:dyDescent="0.25">
      <c r="B29" s="45" t="s">
        <v>50</v>
      </c>
      <c r="C29" s="45">
        <f>HLOOKUP(B29,[2]Result!$A$1:$AO$16,3,FALSE)/1000</f>
        <v>215.11810999999997</v>
      </c>
      <c r="D29" s="45">
        <f>HLOOKUP(B29,[2]Result!$A$1:$AO$16,3,FALSE)/1000-HLOOKUP(B29,[2]Result!$A$1:$AO$16,7,FALSE)/1000</f>
        <v>21.168359999999979</v>
      </c>
      <c r="E29" s="44">
        <f>100*(HLOOKUP(B29,[2]Result!$A$1:$AO$16,3,FALSE)-HLOOKUP(B29,[2]Result!$A$1:$AO$16,7,FALSE))/HLOOKUP(B29,[2]Result!$A$1:$AO$16,3,FALSE)</f>
        <v>9.8403430561936354</v>
      </c>
      <c r="G29" s="45">
        <f>HLOOKUP(B29,[2]Result!$A$1:$AO$16,10,FALSE)/1000</f>
        <v>0</v>
      </c>
      <c r="H29" s="45">
        <f>HLOOKUP(B29,[2]Result!$A$1:$AQ$16,4,FALSE)/1000</f>
        <v>232.15776</v>
      </c>
      <c r="I29" s="45">
        <f>HLOOKUP(B29,[2]Result!$A$1:$AO$16,4,FALSE)/1000-HLOOKUP(B29,[2]Result!$A$1:$AO$16,8,FALSE)/1000</f>
        <v>13.700900000000019</v>
      </c>
      <c r="L29" s="4">
        <f>HLOOKUP(B29,[2]Result!$A$1:$AO$16,5,FALSE)/1000</f>
        <v>206.2415</v>
      </c>
      <c r="M29" s="4">
        <f>HLOOKUP(B29,[2]Result!$A$1:$AO$16,5,FALSE)/1000-HLOOKUP(B29,[2]Result!$A$1:$AO$16,9,FALSE)/1000</f>
        <v>10.223780000000005</v>
      </c>
      <c r="N29" s="45">
        <f>100*(HLOOKUP(B29,[2]Result!$A$1:$AO$16,5,FALSE)-HLOOKUP(B29,[2]Result!$A$1:$AO$16,9,FALSE))/HLOOKUP(B29,[2]Result!$A$1:$AO$16,5,FALSE)</f>
        <v>4.9571885386791692</v>
      </c>
      <c r="P29" s="45">
        <f>HLOOKUP(B29,[2]Result!$A$1:$AO$16,12,FALSE)/1000</f>
        <v>0</v>
      </c>
      <c r="Q29" s="3">
        <f t="shared" si="1"/>
        <v>-4.126388986961615</v>
      </c>
    </row>
    <row r="30" spans="2:17" x14ac:dyDescent="0.25">
      <c r="B30" s="45" t="s">
        <v>58</v>
      </c>
      <c r="C30" s="45">
        <f>HLOOKUP(B30,[2]Result!$A$1:$AO$16,3,FALSE)/1000</f>
        <v>176.30089999999998</v>
      </c>
      <c r="D30" s="45">
        <f>HLOOKUP(B30,[2]Result!$A$1:$AO$16,3,FALSE)/1000-HLOOKUP(B30,[2]Result!$A$1:$AO$16,7,FALSE)/1000</f>
        <v>17.199699999999979</v>
      </c>
      <c r="E30" s="44">
        <f>100*(HLOOKUP(B30,[2]Result!$A$1:$AO$16,3,FALSE)-HLOOKUP(B30,[2]Result!$A$1:$AO$16,7,FALSE))/HLOOKUP(B30,[2]Result!$A$1:$AO$16,3,FALSE)</f>
        <v>9.7558775933645165</v>
      </c>
      <c r="G30" s="45">
        <f>HLOOKUP(B30,[2]Result!$A$1:$AO$16,10,FALSE)/1000</f>
        <v>1.22</v>
      </c>
      <c r="H30" s="45">
        <f>HLOOKUP(B30,[2]Result!$A$1:$AQ$16,4,FALSE)/1000</f>
        <v>190.24250000000001</v>
      </c>
      <c r="I30" s="45">
        <f>HLOOKUP(B30,[2]Result!$A$1:$AO$16,4,FALSE)/1000-HLOOKUP(B30,[2]Result!$A$1:$AO$16,8,FALSE)/1000</f>
        <v>9.4121000000000095</v>
      </c>
      <c r="L30" s="4">
        <f>HLOOKUP(B30,[2]Result!$A$1:$AO$16,5,FALSE)/1000</f>
        <v>200.0402</v>
      </c>
      <c r="M30" s="4">
        <f>HLOOKUP(B30,[2]Result!$A$1:$AO$16,5,FALSE)/1000-HLOOKUP(B30,[2]Result!$A$1:$AO$16,9,FALSE)/1000</f>
        <v>18.453999999999979</v>
      </c>
      <c r="N30" s="45">
        <f>100*(HLOOKUP(B30,[2]Result!$A$1:$AO$16,5,FALSE)-HLOOKUP(B30,[2]Result!$A$1:$AO$16,9,FALSE))/HLOOKUP(B30,[2]Result!$A$1:$AO$16,5,FALSE)</f>
        <v>9.2251457457051131</v>
      </c>
      <c r="P30" s="45">
        <f>HLOOKUP(B30,[2]Result!$A$1:$AO$16,12,FALSE)/1000</f>
        <v>0.50339999999999996</v>
      </c>
      <c r="Q30" s="3">
        <f t="shared" si="1"/>
        <v>13.465217704504063</v>
      </c>
    </row>
    <row r="31" spans="2:17" x14ac:dyDescent="0.25">
      <c r="B31" s="45" t="s">
        <v>70</v>
      </c>
      <c r="C31" s="45">
        <f>HLOOKUP(B31,[2]Result!$A$1:$AO$16,3,FALSE)/1000</f>
        <v>138.28100000000001</v>
      </c>
      <c r="D31" s="45">
        <f>HLOOKUP(B31,[2]Result!$A$1:$AO$16,3,FALSE)/1000-HLOOKUP(B31,[2]Result!$A$1:$AO$16,7,FALSE)/1000</f>
        <v>1.6090000000000089</v>
      </c>
      <c r="E31" s="44">
        <f>100*(HLOOKUP(B31,[2]Result!$A$1:$AO$16,3,FALSE)-HLOOKUP(B31,[2]Result!$A$1:$AO$16,7,FALSE))/HLOOKUP(B31,[2]Result!$A$1:$AO$16,3,FALSE)</f>
        <v>1.1635727251032317</v>
      </c>
      <c r="G31" s="45">
        <f>HLOOKUP(B31,[2]Result!$A$1:$AO$16,10,FALSE)/1000</f>
        <v>0</v>
      </c>
      <c r="H31" s="45">
        <f>HLOOKUP(B31,[2]Result!$A$1:$AQ$16,4,FALSE)/1000</f>
        <v>169.26</v>
      </c>
      <c r="I31" s="45">
        <f>HLOOKUP(B31,[2]Result!$A$1:$AO$16,4,FALSE)/1000-HLOOKUP(B31,[2]Result!$A$1:$AO$16,8,FALSE)/1000</f>
        <v>1.3069999999999879</v>
      </c>
      <c r="L31" s="4">
        <f>HLOOKUP(B31,[2]Result!$A$1:$AO$16,5,FALSE)/1000</f>
        <v>199.97499999999999</v>
      </c>
      <c r="M31" s="4">
        <f>HLOOKUP(B31,[2]Result!$A$1:$AO$16,5,FALSE)/1000-HLOOKUP(B31,[2]Result!$A$1:$AO$16,9,FALSE)/1000</f>
        <v>1.9549999999999841</v>
      </c>
      <c r="N31" s="45">
        <f>100*(HLOOKUP(B31,[2]Result!$A$1:$AO$16,5,FALSE)-HLOOKUP(B31,[2]Result!$A$1:$AO$16,9,FALSE))/HLOOKUP(B31,[2]Result!$A$1:$AO$16,5,FALSE)</f>
        <v>0.97762220277534695</v>
      </c>
      <c r="P31" s="45">
        <f>HLOOKUP(B31,[2]Result!$A$1:$AO$16,12,FALSE)/1000</f>
        <v>0</v>
      </c>
      <c r="Q31" s="3">
        <f t="shared" si="1"/>
        <v>44.614950716295063</v>
      </c>
    </row>
    <row r="32" spans="2:17" x14ac:dyDescent="0.25">
      <c r="B32" s="45" t="s">
        <v>57</v>
      </c>
      <c r="C32" s="45">
        <f>HLOOKUP(B32,[2]Result!$A$1:$AO$16,3,FALSE)/1000</f>
        <v>135.97773000000001</v>
      </c>
      <c r="D32" s="45">
        <f>HLOOKUP(B32,[2]Result!$A$1:$AO$16,3,FALSE)/1000-HLOOKUP(B32,[2]Result!$A$1:$AO$16,7,FALSE)/1000</f>
        <v>73.960530000000006</v>
      </c>
      <c r="E32" s="44">
        <f>100*(HLOOKUP(B32,[2]Result!$A$1:$AO$16,3,FALSE)-HLOOKUP(B32,[2]Result!$A$1:$AO$16,7,FALSE))/HLOOKUP(B32,[2]Result!$A$1:$AO$16,3,FALSE)</f>
        <v>54.391649279628368</v>
      </c>
      <c r="G32" s="45">
        <f>HLOOKUP(B32,[2]Result!$A$1:$AO$16,10,FALSE)/1000</f>
        <v>0</v>
      </c>
      <c r="H32" s="45">
        <f>HLOOKUP(B32,[2]Result!$A$1:$AQ$16,4,FALSE)/1000</f>
        <v>152.31223</v>
      </c>
      <c r="I32" s="45">
        <f>HLOOKUP(B32,[2]Result!$A$1:$AO$16,4,FALSE)/1000-HLOOKUP(B32,[2]Result!$A$1:$AO$16,8,FALSE)/1000</f>
        <v>74.414569999999998</v>
      </c>
      <c r="L32" s="4">
        <f>HLOOKUP(B32,[2]Result!$A$1:$AO$16,5,FALSE)/1000</f>
        <v>189.07205999999999</v>
      </c>
      <c r="M32" s="4">
        <f>HLOOKUP(B32,[2]Result!$A$1:$AO$16,5,FALSE)/1000-HLOOKUP(B32,[2]Result!$A$1:$AO$16,9,FALSE)/1000</f>
        <v>73.705770000000001</v>
      </c>
      <c r="N32" s="45">
        <f>100*(HLOOKUP(B32,[2]Result!$A$1:$AO$16,5,FALSE)-HLOOKUP(B32,[2]Result!$A$1:$AO$16,9,FALSE))/HLOOKUP(B32,[2]Result!$A$1:$AO$16,5,FALSE)</f>
        <v>38.982898901085647</v>
      </c>
      <c r="P32" s="45">
        <f>HLOOKUP(B32,[2]Result!$A$1:$AO$16,12,FALSE)/1000</f>
        <v>0</v>
      </c>
      <c r="Q32" s="3">
        <f t="shared" si="1"/>
        <v>39.046342367974503</v>
      </c>
    </row>
    <row r="33" spans="2:17" x14ac:dyDescent="0.25">
      <c r="B33" s="45" t="s">
        <v>62</v>
      </c>
      <c r="C33" s="45">
        <f>HLOOKUP(B33,[2]Result!$A$1:$AO$16,3,FALSE)/1000</f>
        <v>163.00964000000002</v>
      </c>
      <c r="D33" s="45">
        <f>HLOOKUP(B33,[2]Result!$A$1:$AO$16,3,FALSE)/1000-HLOOKUP(B33,[2]Result!$A$1:$AO$16,7,FALSE)/1000</f>
        <v>6.1072700000000282</v>
      </c>
      <c r="E33" s="44">
        <f>100*(HLOOKUP(B33,[2]Result!$A$1:$AO$16,3,FALSE)-HLOOKUP(B33,[2]Result!$A$1:$AO$16,7,FALSE))/HLOOKUP(B33,[2]Result!$A$1:$AO$16,3,FALSE)</f>
        <v>3.7465698347656113</v>
      </c>
      <c r="G33" s="45">
        <f>HLOOKUP(B33,[2]Result!$A$1:$AO$16,10,FALSE)/1000</f>
        <v>0</v>
      </c>
      <c r="H33" s="45">
        <f>HLOOKUP(B33,[2]Result!$A$1:$AQ$16,4,FALSE)/1000</f>
        <v>180.13287</v>
      </c>
      <c r="I33" s="45">
        <f>HLOOKUP(B33,[2]Result!$A$1:$AO$16,4,FALSE)/1000-HLOOKUP(B33,[2]Result!$A$1:$AO$16,8,FALSE)/1000</f>
        <v>4.7908599999999808</v>
      </c>
      <c r="L33" s="4">
        <f>HLOOKUP(B33,[2]Result!$A$1:$AO$16,5,FALSE)/1000</f>
        <v>183.64951000000002</v>
      </c>
      <c r="M33" s="4">
        <f>HLOOKUP(B33,[2]Result!$A$1:$AO$16,5,FALSE)/1000-HLOOKUP(B33,[2]Result!$A$1:$AO$16,9,FALSE)/1000</f>
        <v>5.0903500000000292</v>
      </c>
      <c r="N33" s="45">
        <f>100*(HLOOKUP(B33,[2]Result!$A$1:$AO$16,5,FALSE)-HLOOKUP(B33,[2]Result!$A$1:$AO$16,9,FALSE))/HLOOKUP(B33,[2]Result!$A$1:$AO$16,5,FALSE)</f>
        <v>2.7717743434218831</v>
      </c>
      <c r="P33" s="45">
        <f>HLOOKUP(B33,[2]Result!$A$1:$AO$16,12,FALSE)/1000</f>
        <v>0</v>
      </c>
      <c r="Q33" s="3">
        <f t="shared" si="1"/>
        <v>12.661748102750249</v>
      </c>
    </row>
    <row r="34" spans="2:17" x14ac:dyDescent="0.25">
      <c r="B34" s="45" t="s">
        <v>65</v>
      </c>
      <c r="C34" s="45">
        <f>HLOOKUP(B34,[2]Result!$A$1:$AO$16,3,FALSE)/1000</f>
        <v>88.415000000000006</v>
      </c>
      <c r="D34" s="45">
        <f>HLOOKUP(B34,[2]Result!$A$1:$AO$16,3,FALSE)/1000-HLOOKUP(B34,[2]Result!$A$1:$AO$16,7,FALSE)/1000</f>
        <v>0.16400000000000148</v>
      </c>
      <c r="E34" s="44">
        <f>100*(HLOOKUP(B34,[2]Result!$A$1:$AO$16,3,FALSE)-HLOOKUP(B34,[2]Result!$A$1:$AO$16,7,FALSE))/HLOOKUP(B34,[2]Result!$A$1:$AO$16,3,FALSE)</f>
        <v>0.1854888876321891</v>
      </c>
      <c r="G34" s="45">
        <f>HLOOKUP(B34,[2]Result!$A$1:$AO$16,10,FALSE)/1000</f>
        <v>0</v>
      </c>
      <c r="H34" s="45">
        <f>HLOOKUP(B34,[2]Result!$A$1:$AQ$16,4,FALSE)/1000</f>
        <v>139.83799999999999</v>
      </c>
      <c r="I34" s="45">
        <f>HLOOKUP(B34,[2]Result!$A$1:$AO$16,4,FALSE)/1000-HLOOKUP(B34,[2]Result!$A$1:$AO$16,8,FALSE)/1000</f>
        <v>3.84699999999998</v>
      </c>
      <c r="L34" s="4">
        <f>HLOOKUP(B34,[2]Result!$A$1:$AO$16,5,FALSE)/1000</f>
        <v>172.869</v>
      </c>
      <c r="M34" s="4">
        <f>HLOOKUP(B34,[2]Result!$A$1:$AO$16,5,FALSE)/1000-HLOOKUP(B34,[2]Result!$A$1:$AO$16,9,FALSE)/1000</f>
        <v>7.23599999999999</v>
      </c>
      <c r="N34" s="45">
        <f>100*(HLOOKUP(B34,[2]Result!$A$1:$AO$16,5,FALSE)-HLOOKUP(B34,[2]Result!$A$1:$AO$16,9,FALSE))/HLOOKUP(B34,[2]Result!$A$1:$AO$16,5,FALSE)</f>
        <v>4.1858285753952416</v>
      </c>
      <c r="P34" s="45">
        <f>HLOOKUP(B34,[2]Result!$A$1:$AO$16,12,FALSE)/1000</f>
        <v>0</v>
      </c>
      <c r="Q34" s="3">
        <f t="shared" si="1"/>
        <v>95.519990951761557</v>
      </c>
    </row>
    <row r="35" spans="2:17" x14ac:dyDescent="0.25">
      <c r="B35" s="45" t="s">
        <v>61</v>
      </c>
      <c r="C35" s="45">
        <f>HLOOKUP(B35,[2]Result!$A$1:$AO$16,3,FALSE)/1000</f>
        <v>115.113</v>
      </c>
      <c r="D35" s="45">
        <f>HLOOKUP(B35,[2]Result!$A$1:$AO$16,3,FALSE)/1000-HLOOKUP(B35,[2]Result!$A$1:$AO$16,7,FALSE)/1000</f>
        <v>115.113</v>
      </c>
      <c r="E35" s="44">
        <f>100*(HLOOKUP(B35,[2]Result!$A$1:$AO$16,3,FALSE)-HLOOKUP(B35,[2]Result!$A$1:$AO$16,7,FALSE))/HLOOKUP(B35,[2]Result!$A$1:$AO$16,3,FALSE)</f>
        <v>100</v>
      </c>
      <c r="G35" s="45">
        <f>HLOOKUP(B35,[2]Result!$A$1:$AO$16,10,FALSE)/1000</f>
        <v>0</v>
      </c>
      <c r="H35" s="45">
        <f>HLOOKUP(B35,[2]Result!$A$1:$AQ$16,4,FALSE)/1000</f>
        <v>121.25328999999999</v>
      </c>
      <c r="I35" s="45">
        <f>HLOOKUP(B35,[2]Result!$A$1:$AO$16,4,FALSE)/1000-HLOOKUP(B35,[2]Result!$A$1:$AO$16,8,FALSE)/1000</f>
        <v>121.25328999999999</v>
      </c>
      <c r="L35" s="4">
        <f>HLOOKUP(B35,[2]Result!$A$1:$AO$16,5,FALSE)/1000</f>
        <v>127.58982</v>
      </c>
      <c r="M35" s="4">
        <f>HLOOKUP(B35,[2]Result!$A$1:$AO$16,5,FALSE)/1000-HLOOKUP(B35,[2]Result!$A$1:$AO$16,9,FALSE)/1000</f>
        <v>127.58982</v>
      </c>
      <c r="N35" s="45">
        <f>100*(HLOOKUP(B35,[2]Result!$A$1:$AO$16,5,FALSE)-HLOOKUP(B35,[2]Result!$A$1:$AO$16,9,FALSE))/HLOOKUP(B35,[2]Result!$A$1:$AO$16,5,FALSE)</f>
        <v>100</v>
      </c>
      <c r="P35" s="45">
        <f>HLOOKUP(B35,[2]Result!$A$1:$AO$16,12,FALSE)/1000</f>
        <v>0</v>
      </c>
      <c r="Q35" s="3">
        <f t="shared" si="1"/>
        <v>10.838758437361552</v>
      </c>
    </row>
    <row r="36" spans="2:17" x14ac:dyDescent="0.25">
      <c r="B36" s="45" t="s">
        <v>68</v>
      </c>
      <c r="C36" s="45">
        <f>HLOOKUP(B36,[2]Result!$A$1:$AO$16,3,FALSE)/1000</f>
        <v>90.075360000000003</v>
      </c>
      <c r="D36" s="45">
        <f>HLOOKUP(B36,[2]Result!$A$1:$AO$16,3,FALSE)/1000-HLOOKUP(B36,[2]Result!$A$1:$AO$16,7,FALSE)/1000</f>
        <v>0.10999999999999943</v>
      </c>
      <c r="E36" s="44">
        <f>100*(HLOOKUP(B36,[2]Result!$A$1:$AO$16,3,FALSE)-HLOOKUP(B36,[2]Result!$A$1:$AO$16,7,FALSE))/HLOOKUP(B36,[2]Result!$A$1:$AO$16,3,FALSE)</f>
        <v>0.12211996710310122</v>
      </c>
      <c r="G36" s="45">
        <f>HLOOKUP(B36,[2]Result!$A$1:$AO$16,10,FALSE)/1000</f>
        <v>0</v>
      </c>
      <c r="H36" s="45">
        <f>HLOOKUP(B36,[2]Result!$A$1:$AQ$16,4,FALSE)/1000</f>
        <v>102.57114</v>
      </c>
      <c r="I36" s="45">
        <f>HLOOKUP(B36,[2]Result!$A$1:$AO$16,4,FALSE)/1000-HLOOKUP(B36,[2]Result!$A$1:$AO$16,8,FALSE)/1000</f>
        <v>0</v>
      </c>
      <c r="L36" s="4">
        <f>HLOOKUP(B36,[2]Result!$A$1:$AO$16,5,FALSE)/1000</f>
        <v>105.87039</v>
      </c>
      <c r="M36" s="4">
        <f>HLOOKUP(B36,[2]Result!$A$1:$AO$16,5,FALSE)/1000-HLOOKUP(B36,[2]Result!$A$1:$AO$16,9,FALSE)/1000</f>
        <v>0</v>
      </c>
      <c r="N36" s="45">
        <f>100*(HLOOKUP(B36,[2]Result!$A$1:$AO$16,5,FALSE)-HLOOKUP(B36,[2]Result!$A$1:$AO$16,9,FALSE))/HLOOKUP(B36,[2]Result!$A$1:$AO$16,5,FALSE)</f>
        <v>0</v>
      </c>
      <c r="P36" s="45">
        <f>HLOOKUP(B36,[2]Result!$A$1:$AO$16,12,FALSE)/1000</f>
        <v>0</v>
      </c>
      <c r="Q36" s="3">
        <f t="shared" si="1"/>
        <v>17.535350399931794</v>
      </c>
    </row>
    <row r="37" spans="2:17" x14ac:dyDescent="0.25">
      <c r="B37" s="45" t="s">
        <v>85</v>
      </c>
      <c r="C37" s="45">
        <f>HLOOKUP(B37,[2]Result!$A$1:$AQ$16,3,FALSE)/1000</f>
        <v>85.987160000000003</v>
      </c>
      <c r="D37" s="45">
        <f>HLOOKUP(B37,[2]Result!$A$1:$AQ$16,3,FALSE)/1000-HLOOKUP(B37,[2]Result!$A$1:$AQ$16,7,FALSE)/1000</f>
        <v>0</v>
      </c>
      <c r="E37" s="44">
        <f>100*(HLOOKUP(B37,[2]Result!$A$1:$AQ$16,3,FALSE)-HLOOKUP(B37,[2]Result!$A$1:$AQ$16,7,FALSE))/HLOOKUP(B37,[2]Result!$A$1:$AQ$16,3,FALSE)</f>
        <v>0</v>
      </c>
      <c r="G37" s="45">
        <f>HLOOKUP(B37,[2]Result!$A$1:$AQ$16,10,FALSE)/1000</f>
        <v>0</v>
      </c>
      <c r="H37" s="45">
        <f>HLOOKUP(B37,[2]Result!$A$1:$AQ$16,4,FALSE)/1000</f>
        <v>110.97563000000001</v>
      </c>
      <c r="I37" s="45">
        <f>HLOOKUP(B37,[2]Result!$A$1:$AQ$16,4,FALSE)/1000-HLOOKUP(B37,[2]Result!$A$1:$AQ$16,8,FALSE)/1000</f>
        <v>0</v>
      </c>
      <c r="L37" s="4">
        <f>HLOOKUP(B37,[2]Result!$A$1:$AQ$16,5,FALSE)/1000</f>
        <v>104.62194000000001</v>
      </c>
      <c r="M37" s="4">
        <f>HLOOKUP(B37,[2]Result!$A$1:$AQ$16,5,FALSE)/1000-HLOOKUP(B37,[2]Result!$A$1:$AQ$16,9,FALSE)/1000</f>
        <v>0</v>
      </c>
      <c r="N37" s="45">
        <f>100*(HLOOKUP(B37,[2]Result!$A$1:$AQ$16,5,FALSE)-HLOOKUP(B37,[2]Result!$A$1:$AQ$16,9,FALSE))/HLOOKUP(B37,[2]Result!$A$1:$AQ$16,5,FALSE)</f>
        <v>0</v>
      </c>
      <c r="P37" s="45">
        <f>HLOOKUP(B37,[2]Result!$A$1:$AQ$16,12,FALSE)/1000</f>
        <v>0</v>
      </c>
      <c r="Q37" s="3">
        <f t="shared" si="1"/>
        <v>21.671584455167505</v>
      </c>
    </row>
    <row r="38" spans="2:17" x14ac:dyDescent="0.25">
      <c r="B38" s="45" t="s">
        <v>47</v>
      </c>
      <c r="C38" s="45" t="e">
        <f>HLOOKUP(B38,#REF!,53,FALSE)/1000</f>
        <v>#REF!</v>
      </c>
      <c r="E38" s="44" t="e">
        <f>100*(HLOOKUP(B38,#REF!,53,FALSE)-HLOOKUP(B38,#REF!,57,FALSE))/HLOOKUP(B38,#REF!,53,FALSE)</f>
        <v>#REF!</v>
      </c>
      <c r="G38" s="21"/>
      <c r="H38" s="45" t="e">
        <f>HLOOKUP(B38,#REF!,54,FALSE)/1000</f>
        <v>#REF!</v>
      </c>
      <c r="I38" s="45" t="e">
        <f>(HLOOKUP(B38,#REF!,54,FALSE)-HLOOKUP(B38,#REF!,58,FALSE))/1000</f>
        <v>#REF!</v>
      </c>
      <c r="J38" s="21"/>
      <c r="K38" s="21"/>
      <c r="L38" s="4" t="e">
        <f>HLOOKUP(B38,#REF!,55,FALSE)/1000</f>
        <v>#REF!</v>
      </c>
      <c r="M38" s="4" t="e">
        <f>(HLOOKUP(B38,#REF!,55,FALSE)-HLOOKUP(B38,#REF!,59,FALSE))/1000</f>
        <v>#REF!</v>
      </c>
      <c r="N38" s="45" t="e">
        <f>100*(HLOOKUP(B38,#REF!,55,FALSE)-HLOOKUP(B38,#REF!,59,FALSE))/HLOOKUP(B38,#REF!,55,FALSE)</f>
        <v>#REF!</v>
      </c>
      <c r="P38" s="45"/>
      <c r="Q38" s="3" t="e">
        <f t="shared" si="1"/>
        <v>#REF!</v>
      </c>
    </row>
    <row r="39" spans="2:17" x14ac:dyDescent="0.25">
      <c r="B39" s="45" t="s">
        <v>55</v>
      </c>
      <c r="C39" s="45">
        <f>HLOOKUP(B39,[2]Result!$A$1:$AO$16,3,FALSE)/1000</f>
        <v>64.868769999999998</v>
      </c>
      <c r="D39" s="45">
        <f>HLOOKUP(B39,[2]Result!$A$1:$AO$16,3,FALSE)/1000-HLOOKUP(B39,[2]Result!$A$1:$AO$16,7,FALSE)/1000</f>
        <v>5.7317099999999996</v>
      </c>
      <c r="E39" s="44">
        <f>100*(HLOOKUP(B39,[2]Result!$A$1:$AO$16,3,FALSE)-HLOOKUP(B39,[2]Result!$A$1:$AO$16,7,FALSE))/HLOOKUP(B39,[2]Result!$A$1:$AO$16,3,FALSE)</f>
        <v>8.8358542947553946</v>
      </c>
      <c r="G39" s="45">
        <f>HLOOKUP(B39,[2]Result!$A$1:$AO$16,10,FALSE)/1000</f>
        <v>0</v>
      </c>
      <c r="H39" s="45">
        <f>HLOOKUP(B39,[2]Result!$A$1:$AQ$16,4,FALSE)/1000</f>
        <v>69.107470000000006</v>
      </c>
      <c r="I39" s="45">
        <f>HLOOKUP(B39,[2]Result!$A$1:$AO$16,4,FALSE)/1000-HLOOKUP(B39,[2]Result!$A$1:$AO$16,8,FALSE)/1000</f>
        <v>8.6310200000000066</v>
      </c>
      <c r="L39" s="4">
        <f>HLOOKUP(B39,[2]Result!$A$1:$AO$16,5,FALSE)/1000</f>
        <v>70.476259999999996</v>
      </c>
      <c r="M39" s="4">
        <f>HLOOKUP(B39,[2]Result!$A$1:$AO$16,5,FALSE)/1000-HLOOKUP(B39,[2]Result!$A$1:$AO$16,9,FALSE)/1000</f>
        <v>7.602170000000001</v>
      </c>
      <c r="N39" s="45">
        <f>100*(HLOOKUP(B39,[2]Result!$A$1:$AO$16,5,FALSE)-HLOOKUP(B39,[2]Result!$A$1:$AO$16,9,FALSE))/HLOOKUP(B39,[2]Result!$A$1:$AO$16,5,FALSE)</f>
        <v>10.786852196753912</v>
      </c>
      <c r="P39" s="45">
        <f>HLOOKUP(B39,[2]Result!$A$1:$AO$16,12,FALSE)/1000</f>
        <v>0</v>
      </c>
      <c r="Q39" s="3">
        <f t="shared" si="1"/>
        <v>8.6443599901770973</v>
      </c>
    </row>
    <row r="40" spans="2:17" x14ac:dyDescent="0.25">
      <c r="B40" s="45" t="s">
        <v>76</v>
      </c>
      <c r="C40" s="45">
        <f>HLOOKUP(B40,[2]Result!$A$1:$AO$16,3,FALSE)/1000</f>
        <v>67.992999999999995</v>
      </c>
      <c r="D40" s="45">
        <f>HLOOKUP(B40,[2]Result!$A$1:$AO$16,3,FALSE)/1000-HLOOKUP(B40,[2]Result!$A$1:$AO$16,7,FALSE)/1000</f>
        <v>1.188999999999993</v>
      </c>
      <c r="E40" s="44">
        <f>100*(HLOOKUP(B40,[2]Result!$A$1:$AO$16,3,FALSE)-HLOOKUP(B40,[2]Result!$A$1:$AO$16,7,FALSE))/HLOOKUP(B40,[2]Result!$A$1:$AO$16,3,FALSE)</f>
        <v>1.7487094259703204</v>
      </c>
      <c r="G40" s="45">
        <f>HLOOKUP(B40,[2]Result!$A$1:$AO$16,10,FALSE)/1000</f>
        <v>0</v>
      </c>
      <c r="H40" s="45">
        <f>HLOOKUP(B40,[2]Result!$A$1:$AQ$16,4,FALSE)/1000</f>
        <v>71.536000000000001</v>
      </c>
      <c r="I40" s="45">
        <f>HLOOKUP(B40,[2]Result!$A$1:$AO$16,4,FALSE)/1000-HLOOKUP(B40,[2]Result!$A$1:$AO$16,8,FALSE)/1000</f>
        <v>1.1890000000000072</v>
      </c>
      <c r="L40" s="4">
        <f>HLOOKUP(B40,[2]Result!$A$1:$AO$16,5,FALSE)/1000</f>
        <v>67.665000000000006</v>
      </c>
      <c r="M40" s="4">
        <f>HLOOKUP(B40,[2]Result!$A$1:$AO$16,5,FALSE)/1000-HLOOKUP(B40,[2]Result!$A$1:$AO$16,9,FALSE)/1000</f>
        <v>1.1060000000000088</v>
      </c>
      <c r="N40" s="45">
        <f>100*(HLOOKUP(B40,[2]Result!$A$1:$AO$16,5,FALSE)-HLOOKUP(B40,[2]Result!$A$1:$AO$16,9,FALSE))/HLOOKUP(B40,[2]Result!$A$1:$AO$16,5,FALSE)</f>
        <v>1.6345230178083203</v>
      </c>
      <c r="P40" s="45">
        <f>HLOOKUP(B40,[2]Result!$A$1:$AO$16,12,FALSE)/1000</f>
        <v>0</v>
      </c>
      <c r="Q40" s="3">
        <f t="shared" si="1"/>
        <v>-0.4824026002676618</v>
      </c>
    </row>
    <row r="41" spans="2:17" x14ac:dyDescent="0.25">
      <c r="B41" s="45" t="s">
        <v>77</v>
      </c>
      <c r="C41" s="45">
        <f>HLOOKUP(B41,[2]Result!$A$1:$AO$16,3,FALSE)/1000</f>
        <v>53.201999999999998</v>
      </c>
      <c r="D41" s="45">
        <f>HLOOKUP(B41,[2]Result!$A$1:$AO$16,3,FALSE)/1000-HLOOKUP(B41,[2]Result!$A$1:$AO$16,7,FALSE)/1000</f>
        <v>2.1000000000000014</v>
      </c>
      <c r="E41" s="44">
        <f>100*(HLOOKUP(B41,[2]Result!$A$1:$AO$16,3,FALSE)-HLOOKUP(B41,[2]Result!$A$1:$AO$16,7,FALSE))/HLOOKUP(B41,[2]Result!$A$1:$AO$16,3,FALSE)</f>
        <v>3.9472200293222057</v>
      </c>
      <c r="G41" s="45">
        <f>HLOOKUP(B41,[2]Result!$A$1:$AO$16,10,FALSE)/1000</f>
        <v>0</v>
      </c>
      <c r="H41" s="45">
        <f>HLOOKUP(B41,[2]Result!$A$1:$AQ$16,4,FALSE)/1000</f>
        <v>66.576999999999998</v>
      </c>
      <c r="I41" s="45">
        <f>HLOOKUP(B41,[2]Result!$A$1:$AO$16,4,FALSE)/1000-HLOOKUP(B41,[2]Result!$A$1:$AO$16,8,FALSE)/1000</f>
        <v>5.9159999999999968</v>
      </c>
      <c r="L41" s="4">
        <f>HLOOKUP(B41,[2]Result!$A$1:$AO$16,5,FALSE)/1000</f>
        <v>63.335000000000001</v>
      </c>
      <c r="M41" s="4">
        <f>HLOOKUP(B41,[2]Result!$A$1:$AO$16,5,FALSE)/1000-HLOOKUP(B41,[2]Result!$A$1:$AO$16,9,FALSE)/1000</f>
        <v>6.4179999999999993</v>
      </c>
      <c r="N41" s="45">
        <f>100*(HLOOKUP(B41,[2]Result!$A$1:$AO$16,5,FALSE)-HLOOKUP(B41,[2]Result!$A$1:$AO$16,9,FALSE))/HLOOKUP(B41,[2]Result!$A$1:$AO$16,5,FALSE)</f>
        <v>10.133417541643642</v>
      </c>
      <c r="P41" s="45">
        <f>HLOOKUP(B41,[2]Result!$A$1:$AO$16,12,FALSE)/1000</f>
        <v>0</v>
      </c>
      <c r="Q41" s="3">
        <f t="shared" si="1"/>
        <v>19.04627645577235</v>
      </c>
    </row>
    <row r="42" spans="2:17" x14ac:dyDescent="0.25">
      <c r="B42" s="45" t="s">
        <v>35</v>
      </c>
      <c r="C42" s="45" t="e">
        <f>HLOOKUP(B42,#REF!,53,FALSE)/1000</f>
        <v>#REF!</v>
      </c>
      <c r="D42" s="45" t="e">
        <f>(HLOOKUP(B42,#REF!,53,FALSE)-HLOOKUP(B42,#REF!,57,FALSE))/1000</f>
        <v>#REF!</v>
      </c>
      <c r="E42" s="44" t="e">
        <f>100*(HLOOKUP(B42,#REF!,53,FALSE)-HLOOKUP(B42,#REF!,57,FALSE))/HLOOKUP(B42,#REF!,53,FALSE)</f>
        <v>#REF!</v>
      </c>
      <c r="G42" s="21"/>
      <c r="H42" s="45" t="e">
        <f>HLOOKUP(B42,#REF!,54,FALSE)/1000</f>
        <v>#REF!</v>
      </c>
      <c r="I42" s="45" t="e">
        <f>(HLOOKUP(B42,#REF!,54,FALSE)-HLOOKUP(B42,#REF!,58,FALSE))/1000</f>
        <v>#REF!</v>
      </c>
      <c r="J42" s="21"/>
      <c r="K42" s="21"/>
      <c r="L42" s="4" t="e">
        <f>HLOOKUP(B42,#REF!,55,FALSE)/1000</f>
        <v>#REF!</v>
      </c>
      <c r="M42" s="4" t="e">
        <f>(HLOOKUP(B42,#REF!,55,FALSE)-HLOOKUP(B42,#REF!,59,FALSE))/1000</f>
        <v>#REF!</v>
      </c>
      <c r="N42" s="45" t="e">
        <f>100*(HLOOKUP(B42,#REF!,55,FALSE)-HLOOKUP(B42,#REF!,59,FALSE))/HLOOKUP(B42,#REF!,55,FALSE)</f>
        <v>#REF!</v>
      </c>
      <c r="P42" s="45"/>
      <c r="Q42" s="3" t="e">
        <f t="shared" si="1"/>
        <v>#REF!</v>
      </c>
    </row>
    <row r="43" spans="2:17" x14ac:dyDescent="0.25">
      <c r="B43" s="45" t="s">
        <v>64</v>
      </c>
      <c r="C43" s="45">
        <f>HLOOKUP(B43,[2]Result!$A$1:$AO$16,3,FALSE)/1000</f>
        <v>33.173070000000003</v>
      </c>
      <c r="D43" s="45">
        <f>HLOOKUP(B43,[2]Result!$A$1:$AO$16,3,FALSE)/1000-HLOOKUP(B43,[2]Result!$A$1:$AO$16,7,FALSE)/1000</f>
        <v>0</v>
      </c>
      <c r="E43" s="44">
        <f>100*(HLOOKUP(B43,[2]Result!$A$1:$AO$16,3,FALSE)-HLOOKUP(B43,[2]Result!$A$1:$AO$16,7,FALSE))/HLOOKUP(B43,[2]Result!$A$1:$AO$16,3,FALSE)</f>
        <v>0</v>
      </c>
      <c r="G43" s="45">
        <f>HLOOKUP(B43,[2]Result!$A$1:$AO$16,10,FALSE)/1000</f>
        <v>0</v>
      </c>
      <c r="H43" s="45">
        <f>HLOOKUP(B43,[2]Result!$A$1:$AQ$16,4,FALSE)/1000</f>
        <v>45.492239999999995</v>
      </c>
      <c r="I43" s="45">
        <f>HLOOKUP(B43,[2]Result!$A$1:$AO$16,4,FALSE)/1000-HLOOKUP(B43,[2]Result!$A$1:$AO$16,8,FALSE)/1000</f>
        <v>0</v>
      </c>
      <c r="L43" s="4">
        <f>HLOOKUP(B43,[2]Result!$A$1:$AO$16,5,FALSE)/1000</f>
        <v>60.374209999999998</v>
      </c>
      <c r="M43" s="4">
        <f>HLOOKUP(B43,[2]Result!$A$1:$AO$16,5,FALSE)/1000-HLOOKUP(B43,[2]Result!$A$1:$AO$16,9,FALSE)/1000</f>
        <v>0</v>
      </c>
      <c r="N43" s="45">
        <f>100*(HLOOKUP(B43,[2]Result!$A$1:$AO$16,5,FALSE)-HLOOKUP(B43,[2]Result!$A$1:$AO$16,9,FALSE))/HLOOKUP(B43,[2]Result!$A$1:$AO$16,5,FALSE)</f>
        <v>0</v>
      </c>
      <c r="P43" s="45">
        <f>HLOOKUP(B43,[2]Result!$A$1:$AO$16,12,FALSE)/1000</f>
        <v>0</v>
      </c>
      <c r="Q43" s="3">
        <f t="shared" si="1"/>
        <v>81.997656532844232</v>
      </c>
    </row>
    <row r="44" spans="2:17" x14ac:dyDescent="0.25">
      <c r="B44" s="45" t="s">
        <v>17</v>
      </c>
      <c r="C44" s="45" t="e">
        <f>HLOOKUP(B44,#REF!,53,FALSE)/1000</f>
        <v>#REF!</v>
      </c>
      <c r="D44" s="45" t="e">
        <f>(HLOOKUP(B44,#REF!,53,FALSE)-HLOOKUP(B44,#REF!,57,FALSE))/1000</f>
        <v>#REF!</v>
      </c>
      <c r="E44" s="44" t="e">
        <f>100*(HLOOKUP(B44,#REF!,53,FALSE)-HLOOKUP(B44,#REF!,57,FALSE))/HLOOKUP(B44,#REF!,53,FALSE)</f>
        <v>#REF!</v>
      </c>
      <c r="G44" s="21"/>
      <c r="H44" s="45" t="e">
        <f>HLOOKUP(B44,#REF!,54,FALSE)/1000</f>
        <v>#REF!</v>
      </c>
      <c r="I44" s="45" t="e">
        <f>(HLOOKUP(B44,#REF!,54,FALSE)-HLOOKUP(B44,#REF!,58,FALSE))/1000</f>
        <v>#REF!</v>
      </c>
      <c r="J44" s="21"/>
      <c r="K44" s="21"/>
      <c r="L44" s="4" t="e">
        <f>HLOOKUP(B44,#REF!,55,FALSE)/1000</f>
        <v>#REF!</v>
      </c>
      <c r="M44" s="4" t="e">
        <f>(HLOOKUP(B44,#REF!,55,FALSE)-HLOOKUP(B44,#REF!,59,FALSE))/1000</f>
        <v>#REF!</v>
      </c>
      <c r="N44" s="45" t="e">
        <f>100*(HLOOKUP(B44,#REF!,55,FALSE)-HLOOKUP(B44,#REF!,59,FALSE))/HLOOKUP(B44,#REF!,55,FALSE)</f>
        <v>#REF!</v>
      </c>
      <c r="P44" s="45"/>
      <c r="Q44" s="3" t="e">
        <f t="shared" si="1"/>
        <v>#REF!</v>
      </c>
    </row>
    <row r="45" spans="2:17" x14ac:dyDescent="0.25">
      <c r="B45" s="45" t="s">
        <v>81</v>
      </c>
      <c r="C45" s="45">
        <f>HLOOKUP(B45,[2]Result!$A$1:$AO$16,3,FALSE)/1000</f>
        <v>32.255000000000003</v>
      </c>
      <c r="D45" s="45">
        <f>HLOOKUP(B45,[2]Result!$A$1:$AO$16,3,FALSE)/1000-HLOOKUP(B45,[2]Result!$A$1:$AO$16,7,FALSE)/1000</f>
        <v>2.0070000000000014</v>
      </c>
      <c r="E45" s="44">
        <f>100*(HLOOKUP(B45,[2]Result!$A$1:$AO$16,3,FALSE)-HLOOKUP(B45,[2]Result!$A$1:$AO$16,7,FALSE))/HLOOKUP(B45,[2]Result!$A$1:$AO$16,3,FALSE)</f>
        <v>6.2222911176561775</v>
      </c>
      <c r="G45" s="45">
        <f>HLOOKUP(B45,[2]Result!$A$1:$AO$16,10,FALSE)/1000</f>
        <v>0</v>
      </c>
      <c r="H45" s="45">
        <f>HLOOKUP(B45,[2]Result!$A$1:$AQ$16,4,FALSE)/1000</f>
        <v>33.284999999999997</v>
      </c>
      <c r="I45" s="45">
        <f>HLOOKUP(B45,[2]Result!$A$1:$AO$16,4,FALSE)/1000-HLOOKUP(B45,[2]Result!$A$1:$AO$16,8,FALSE)/1000</f>
        <v>2.296999999999997</v>
      </c>
      <c r="L45" s="4">
        <f>HLOOKUP(B45,[2]Result!$A$1:$AO$16,5,FALSE)/1000</f>
        <v>28.347999999999999</v>
      </c>
      <c r="M45" s="4">
        <f>HLOOKUP(B45,[2]Result!$A$1:$AO$16,5,FALSE)/1000-HLOOKUP(B45,[2]Result!$A$1:$AO$16,9,FALSE)/1000</f>
        <v>3.0990000000000002</v>
      </c>
      <c r="N45" s="45">
        <f>100*(HLOOKUP(B45,[2]Result!$A$1:$AO$16,5,FALSE)-HLOOKUP(B45,[2]Result!$A$1:$AO$16,9,FALSE))/HLOOKUP(B45,[2]Result!$A$1:$AO$16,5,FALSE)</f>
        <v>10.93198814731198</v>
      </c>
      <c r="P45" s="45">
        <f>HLOOKUP(B45,[2]Result!$A$1:$AO$16,12,FALSE)/1000</f>
        <v>0</v>
      </c>
      <c r="Q45" s="3">
        <f t="shared" si="1"/>
        <v>-12.112850720818491</v>
      </c>
    </row>
    <row r="46" spans="2:17" x14ac:dyDescent="0.25">
      <c r="B46" s="45" t="s">
        <v>24</v>
      </c>
      <c r="C46" s="45" t="e">
        <f>HLOOKUP(B46,#REF!,53,FALSE)/1000</f>
        <v>#REF!</v>
      </c>
      <c r="D46" s="45" t="e">
        <f>(HLOOKUP(B46,#REF!,53,FALSE)-HLOOKUP(B46,#REF!,57,FALSE))/1000</f>
        <v>#REF!</v>
      </c>
      <c r="E46" s="44" t="e">
        <f>100*(HLOOKUP(B46,#REF!,53,FALSE)-HLOOKUP(B46,#REF!,57,FALSE))/HLOOKUP(B46,#REF!,53,FALSE)</f>
        <v>#REF!</v>
      </c>
      <c r="G46" s="21"/>
      <c r="H46" s="45" t="e">
        <f>HLOOKUP(B46,#REF!,54,FALSE)/1000</f>
        <v>#REF!</v>
      </c>
      <c r="I46" s="45" t="e">
        <f>(HLOOKUP(B46,#REF!,54,FALSE)-HLOOKUP(B46,#REF!,58,FALSE))/1000</f>
        <v>#REF!</v>
      </c>
      <c r="J46" s="21"/>
      <c r="K46" s="21"/>
      <c r="L46" s="4" t="e">
        <f>HLOOKUP(B46,#REF!,55,FALSE)/1000</f>
        <v>#REF!</v>
      </c>
      <c r="M46" s="4" t="e">
        <f>(HLOOKUP(B46,#REF!,55,FALSE)-HLOOKUP(B46,#REF!,59,FALSE))/1000</f>
        <v>#REF!</v>
      </c>
      <c r="N46" s="45" t="e">
        <f>100*(HLOOKUP(B46,#REF!,55,FALSE)-HLOOKUP(B46,#REF!,59,FALSE))/HLOOKUP(B46,#REF!,55,FALSE)</f>
        <v>#REF!</v>
      </c>
      <c r="P46" s="45"/>
      <c r="Q46" s="3" t="e">
        <f t="shared" si="1"/>
        <v>#REF!</v>
      </c>
    </row>
    <row r="47" spans="2:17" x14ac:dyDescent="0.25">
      <c r="B47" s="45" t="s">
        <v>31</v>
      </c>
      <c r="C47" s="45" t="s">
        <v>20</v>
      </c>
      <c r="D47" s="45" t="e">
        <f>(HLOOKUP(B47,#REF!,53,FALSE)-HLOOKUP(B47,#REF!,57,FALSE))/1000</f>
        <v>#REF!</v>
      </c>
      <c r="E47" s="44" t="s">
        <v>20</v>
      </c>
      <c r="G47" s="21"/>
      <c r="H47" s="45" t="e">
        <f>HLOOKUP(B47,#REF!,54,FALSE)/1000</f>
        <v>#REF!</v>
      </c>
      <c r="I47" s="45" t="e">
        <f>(HLOOKUP(B47,#REF!,54,FALSE)-HLOOKUP(B47,#REF!,58,FALSE))/1000</f>
        <v>#REF!</v>
      </c>
      <c r="J47" s="21"/>
      <c r="K47" s="21"/>
      <c r="L47" s="4" t="e">
        <f>HLOOKUP(B47,#REF!,55,FALSE)/1000</f>
        <v>#REF!</v>
      </c>
      <c r="M47" s="4" t="e">
        <f>(HLOOKUP(B47,#REF!,55,FALSE)-HLOOKUP(B47,#REF!,59,FALSE))/1000</f>
        <v>#REF!</v>
      </c>
      <c r="N47" s="45" t="e">
        <f>100*(HLOOKUP(B47,#REF!,55,FALSE)-HLOOKUP(B47,#REF!,59,FALSE))/HLOOKUP(B47,#REF!,55,FALSE)</f>
        <v>#REF!</v>
      </c>
      <c r="P47" s="45"/>
      <c r="Q47" s="3" t="s">
        <v>20</v>
      </c>
    </row>
    <row r="48" spans="2:17" x14ac:dyDescent="0.25">
      <c r="B48" s="45" t="s">
        <v>39</v>
      </c>
      <c r="C48" s="45" t="e">
        <f>HLOOKUP(B48,#REF!,53,FALSE)/1000</f>
        <v>#REF!</v>
      </c>
      <c r="D48" s="45" t="e">
        <f>(HLOOKUP(B48,#REF!,53,FALSE)-HLOOKUP(B48,#REF!,57,FALSE))/1000</f>
        <v>#REF!</v>
      </c>
      <c r="E48" s="44" t="e">
        <f>100*(HLOOKUP(B48,#REF!,53,FALSE)-HLOOKUP(B48,#REF!,57,FALSE))/HLOOKUP(B48,#REF!,53,FALSE)</f>
        <v>#REF!</v>
      </c>
      <c r="G48" s="21"/>
      <c r="H48" s="45" t="e">
        <f>HLOOKUP(B48,#REF!,54,FALSE)/1000</f>
        <v>#REF!</v>
      </c>
      <c r="I48" s="45" t="e">
        <f>(HLOOKUP(B48,#REF!,54,FALSE)-HLOOKUP(B48,#REF!,58,FALSE))/1000</f>
        <v>#REF!</v>
      </c>
      <c r="J48" s="21"/>
      <c r="K48" s="21"/>
      <c r="L48" s="4" t="e">
        <f>HLOOKUP(B48,#REF!,55,FALSE)/1000</f>
        <v>#REF!</v>
      </c>
      <c r="M48" s="4" t="e">
        <f>(HLOOKUP(B48,#REF!,55,FALSE)-HLOOKUP(B48,#REF!,59,FALSE))/1000</f>
        <v>#REF!</v>
      </c>
      <c r="N48" s="45" t="e">
        <f>100*(HLOOKUP(B48,#REF!,55,FALSE)-HLOOKUP(B48,#REF!,59,FALSE))/HLOOKUP(B48,#REF!,55,FALSE)</f>
        <v>#REF!</v>
      </c>
      <c r="P48" s="45"/>
      <c r="Q48" s="3" t="e">
        <f t="shared" ref="Q48:Q53" si="2">(L48/C48-1)*100</f>
        <v>#REF!</v>
      </c>
    </row>
    <row r="49" spans="1:17" x14ac:dyDescent="0.25">
      <c r="B49" s="45" t="s">
        <v>45</v>
      </c>
      <c r="C49" s="45" t="e">
        <f>HLOOKUP(B49,#REF!,53,FALSE)/1000</f>
        <v>#REF!</v>
      </c>
      <c r="D49" s="45" t="e">
        <f>(HLOOKUP(B49,#REF!,53,FALSE)-HLOOKUP(B49,#REF!,57,FALSE))/1000</f>
        <v>#REF!</v>
      </c>
      <c r="E49" s="44" t="e">
        <f>100*(HLOOKUP(B49,#REF!,53,FALSE)-HLOOKUP(B49,#REF!,57,FALSE))/HLOOKUP(B49,#REF!,53,FALSE)</f>
        <v>#REF!</v>
      </c>
      <c r="G49" s="21"/>
      <c r="H49" s="45" t="e">
        <f>HLOOKUP(B49,#REF!,54,FALSE)/1000</f>
        <v>#REF!</v>
      </c>
      <c r="I49" s="45" t="e">
        <f>(HLOOKUP(B49,#REF!,54,FALSE)-HLOOKUP(B49,#REF!,58,FALSE))/1000</f>
        <v>#REF!</v>
      </c>
      <c r="J49" s="21"/>
      <c r="K49" s="21"/>
      <c r="L49" s="4" t="e">
        <f>HLOOKUP(B49,#REF!,55,FALSE)/1000</f>
        <v>#REF!</v>
      </c>
      <c r="M49" s="4" t="e">
        <f>(HLOOKUP(B49,#REF!,55,FALSE)-HLOOKUP(B49,#REF!,59,FALSE))/1000</f>
        <v>#REF!</v>
      </c>
      <c r="N49" s="45" t="e">
        <f>100*(HLOOKUP(B49,#REF!,55,FALSE)-HLOOKUP(B49,#REF!,59,FALSE))/HLOOKUP(B49,#REF!,55,FALSE)</f>
        <v>#REF!</v>
      </c>
      <c r="P49" s="45"/>
      <c r="Q49" s="3" t="e">
        <f t="shared" si="2"/>
        <v>#REF!</v>
      </c>
    </row>
    <row r="50" spans="1:17" x14ac:dyDescent="0.25">
      <c r="B50" s="45" t="s">
        <v>44</v>
      </c>
      <c r="C50" s="45" t="e">
        <f>HLOOKUP(B50,#REF!,53,FALSE)/1000</f>
        <v>#REF!</v>
      </c>
      <c r="D50" s="45" t="e">
        <f>(HLOOKUP(B50,#REF!,53,FALSE)-HLOOKUP(B50,#REF!,57,FALSE))/1000</f>
        <v>#REF!</v>
      </c>
      <c r="E50" s="44" t="e">
        <f>100*(HLOOKUP(B50,#REF!,53,FALSE)-HLOOKUP(B50,#REF!,57,FALSE))/HLOOKUP(B50,#REF!,53,FALSE)</f>
        <v>#REF!</v>
      </c>
      <c r="G50" s="21"/>
      <c r="H50" s="45" t="e">
        <f>HLOOKUP(B50,#REF!,54,FALSE)/1000</f>
        <v>#REF!</v>
      </c>
      <c r="I50" s="45" t="e">
        <f>(HLOOKUP(B50,#REF!,54,FALSE)-HLOOKUP(B50,#REF!,58,FALSE))/1000</f>
        <v>#REF!</v>
      </c>
      <c r="J50" s="21"/>
      <c r="K50" s="21"/>
      <c r="L50" s="4" t="e">
        <f>HLOOKUP(B50,#REF!,55,FALSE)/1000</f>
        <v>#REF!</v>
      </c>
      <c r="M50" s="4" t="e">
        <f>(HLOOKUP(B50,#REF!,55,FALSE)-HLOOKUP(B50,#REF!,59,FALSE))/1000</f>
        <v>#REF!</v>
      </c>
      <c r="N50" s="45" t="e">
        <f>100*(HLOOKUP(B50,#REF!,55,FALSE)-HLOOKUP(B50,#REF!,59,FALSE))/HLOOKUP(B50,#REF!,55,FALSE)</f>
        <v>#REF!</v>
      </c>
      <c r="P50" s="45"/>
      <c r="Q50" s="3" t="e">
        <f t="shared" si="2"/>
        <v>#REF!</v>
      </c>
    </row>
    <row r="51" spans="1:17" x14ac:dyDescent="0.25">
      <c r="B51" s="45" t="s">
        <v>46</v>
      </c>
      <c r="C51" s="45" t="e">
        <f>HLOOKUP(B51,#REF!,53,FALSE)/1000</f>
        <v>#REF!</v>
      </c>
      <c r="D51" s="45" t="e">
        <f>(HLOOKUP(B51,#REF!,53,FALSE)-HLOOKUP(B51,#REF!,57,FALSE))/1000</f>
        <v>#REF!</v>
      </c>
      <c r="E51" s="44" t="e">
        <f>100*(HLOOKUP(B51,#REF!,53,FALSE)-HLOOKUP(B51,#REF!,57,FALSE))/HLOOKUP(B51,#REF!,53,FALSE)</f>
        <v>#REF!</v>
      </c>
      <c r="G51" s="21"/>
      <c r="H51" s="45" t="e">
        <f>HLOOKUP(B51,#REF!,54,FALSE)/1000</f>
        <v>#REF!</v>
      </c>
      <c r="I51" s="45" t="e">
        <f>(HLOOKUP(B51,#REF!,54,FALSE)-HLOOKUP(B51,#REF!,58,FALSE))/1000</f>
        <v>#REF!</v>
      </c>
      <c r="J51" s="21"/>
      <c r="K51" s="21"/>
      <c r="L51" s="4" t="e">
        <f>HLOOKUP(B51,#REF!,55,FALSE)/1000</f>
        <v>#REF!</v>
      </c>
      <c r="M51" s="4" t="e">
        <f>(HLOOKUP(B51,#REF!,55,FALSE)-HLOOKUP(B51,#REF!,59,FALSE))/1000</f>
        <v>#REF!</v>
      </c>
      <c r="N51" s="45" t="e">
        <f>100*(HLOOKUP(B51,#REF!,55,FALSE)-HLOOKUP(B51,#REF!,59,FALSE))/HLOOKUP(B51,#REF!,55,FALSE)</f>
        <v>#REF!</v>
      </c>
      <c r="P51" s="45"/>
      <c r="Q51" s="3" t="e">
        <f t="shared" si="2"/>
        <v>#REF!</v>
      </c>
    </row>
    <row r="52" spans="1:17" x14ac:dyDescent="0.25">
      <c r="B52" s="45" t="s">
        <v>14</v>
      </c>
      <c r="C52" s="45" t="e">
        <f>HLOOKUP(B52,#REF!,53,FALSE)/1000</f>
        <v>#REF!</v>
      </c>
      <c r="D52" s="45" t="e">
        <f>(HLOOKUP(B52,#REF!,53,FALSE)-HLOOKUP(B52,#REF!,57,FALSE))/1000</f>
        <v>#REF!</v>
      </c>
      <c r="E52" s="44" t="e">
        <f>100*(HLOOKUP(B52,#REF!,53,FALSE)-HLOOKUP(B52,#REF!,57,FALSE))/HLOOKUP(B52,#REF!,53,FALSE)</f>
        <v>#REF!</v>
      </c>
      <c r="G52" s="21"/>
      <c r="H52" s="45" t="e">
        <f>HLOOKUP(B52,#REF!,54,FALSE)/1000</f>
        <v>#REF!</v>
      </c>
      <c r="I52" s="45" t="e">
        <f>(HLOOKUP(B52,#REF!,54,FALSE)-HLOOKUP(B52,#REF!,58,FALSE))/1000</f>
        <v>#REF!</v>
      </c>
      <c r="J52" s="21"/>
      <c r="K52" s="21"/>
      <c r="L52" s="4" t="e">
        <f>HLOOKUP(B52,#REF!,55,FALSE)/1000</f>
        <v>#REF!</v>
      </c>
      <c r="M52" s="4" t="e">
        <f>(HLOOKUP(B52,#REF!,55,FALSE)-HLOOKUP(B52,#REF!,59,FALSE))/1000</f>
        <v>#REF!</v>
      </c>
      <c r="N52" s="45" t="e">
        <f>100*(HLOOKUP(B52,#REF!,55,FALSE)-HLOOKUP(B52,#REF!,59,FALSE))/HLOOKUP(B52,#REF!,55,FALSE)</f>
        <v>#REF!</v>
      </c>
      <c r="P52" s="45"/>
      <c r="Q52" s="3" t="e">
        <f t="shared" si="2"/>
        <v>#REF!</v>
      </c>
    </row>
    <row r="53" spans="1:17" x14ac:dyDescent="0.25">
      <c r="B53" s="45" t="s">
        <v>37</v>
      </c>
      <c r="C53" s="45" t="e">
        <f>HLOOKUP(B53,#REF!,53,FALSE)/1000</f>
        <v>#REF!</v>
      </c>
      <c r="D53" s="45" t="e">
        <f>(HLOOKUP(B53,#REF!,53,FALSE)-HLOOKUP(B53,#REF!,57,FALSE))/1000</f>
        <v>#REF!</v>
      </c>
      <c r="E53" s="44" t="e">
        <f>100*(HLOOKUP(B53,#REF!,53,FALSE)-HLOOKUP(B53,#REF!,57,FALSE))/HLOOKUP(B53,#REF!,53,FALSE)</f>
        <v>#REF!</v>
      </c>
      <c r="G53" s="21"/>
      <c r="H53" s="45" t="e">
        <f>HLOOKUP(B53,#REF!,54,FALSE)/1000</f>
        <v>#REF!</v>
      </c>
      <c r="I53" s="45" t="e">
        <f>(HLOOKUP(B53,#REF!,54,FALSE)-HLOOKUP(B53,#REF!,58,FALSE))/1000</f>
        <v>#REF!</v>
      </c>
      <c r="J53" s="21"/>
      <c r="K53" s="21"/>
      <c r="L53" s="4" t="e">
        <f>HLOOKUP(B53,#REF!,55,FALSE)/1000</f>
        <v>#REF!</v>
      </c>
      <c r="M53" s="4" t="e">
        <f>(HLOOKUP(B53,#REF!,55,FALSE)-HLOOKUP(B53,#REF!,59,FALSE))/1000</f>
        <v>#REF!</v>
      </c>
      <c r="N53" s="45" t="e">
        <f>100*(HLOOKUP(B53,#REF!,55,FALSE)-HLOOKUP(B53,#REF!,59,FALSE))/HLOOKUP(B53,#REF!,55,FALSE)</f>
        <v>#REF!</v>
      </c>
      <c r="P53" s="45"/>
      <c r="Q53" s="3" t="e">
        <f t="shared" si="2"/>
        <v>#REF!</v>
      </c>
    </row>
    <row r="54" spans="1:17" x14ac:dyDescent="0.25">
      <c r="B54" s="45" t="s">
        <v>116</v>
      </c>
      <c r="C54" s="45">
        <f>HLOOKUP(B54,[2]Result!$A$1:$AO$16,3,FALSE)/1000</f>
        <v>427.15459999999996</v>
      </c>
      <c r="D54" s="45">
        <f>HLOOKUP(B54,[2]Result!$A$1:$AO$16,3,FALSE)/1000-HLOOKUP(B54,[2]Result!$A$1:$AO$16,7,FALSE)/1000</f>
        <v>141.20959999999997</v>
      </c>
      <c r="E54" s="44">
        <f>100*(HLOOKUP(B54,[2]Result!$A$1:$AO$16,3,FALSE)-HLOOKUP(B54,[2]Result!$A$1:$AO$16,7,FALSE))/HLOOKUP(B54,[2]Result!$A$1:$AO$16,3,FALSE)</f>
        <v>33.058194854977565</v>
      </c>
      <c r="G54" s="45">
        <f>HLOOKUP(B54,[2]Result!$A$1:$AO$16,10,FALSE)/1000</f>
        <v>63.194600000000001</v>
      </c>
      <c r="H54" s="45">
        <f>HLOOKUP(B54,[2]Result!$A$1:$AQ$16,4,FALSE)/1000</f>
        <v>356.76309999999995</v>
      </c>
      <c r="I54" s="45">
        <f>HLOOKUP(B54,[2]Result!$A$1:$AO$16,4,FALSE)/1000-HLOOKUP(B54,[2]Result!$A$1:$AO$16,8,FALSE)/1000</f>
        <v>5.2350999999999317</v>
      </c>
      <c r="L54" s="4">
        <f>HLOOKUP(B54,[2]Result!$A$1:$AO$16,5,FALSE)/1000</f>
        <v>441.89042000000001</v>
      </c>
      <c r="M54" s="4">
        <f>HLOOKUP(B54,[2]Result!$A$1:$AO$16,5,FALSE)/1000-HLOOKUP(B54,[2]Result!$A$1:$AO$16,9,FALSE)/1000</f>
        <v>45.538920000000019</v>
      </c>
      <c r="N54" s="45">
        <f>100*(HLOOKUP(B54,[2]Result!$A$1:$AO$16,5,FALSE)-HLOOKUP(B54,[2]Result!$A$1:$AO$16,9,FALSE))/HLOOKUP(B54,[2]Result!$A$1:$AO$16,5,FALSE)</f>
        <v>10.305477996105909</v>
      </c>
      <c r="P54" s="45">
        <f>HLOOKUP(B54,[2]Result!$A$1:$AO$16,12,FALSE)/1000</f>
        <v>63.235399999999998</v>
      </c>
      <c r="Q54" s="3">
        <f>(L54/C54-1)*100</f>
        <v>3.4497626854539387</v>
      </c>
    </row>
    <row r="55" spans="1:17" s="45" customFormat="1" x14ac:dyDescent="0.25">
      <c r="B55" s="45" t="s">
        <v>226</v>
      </c>
      <c r="C55" s="45">
        <f>HLOOKUP(B55,[2]Result!$A$1:$AO$16,3,FALSE)/1000</f>
        <v>329.56599999999997</v>
      </c>
      <c r="D55" s="45">
        <f>HLOOKUP(B55,[2]Result!$A$1:$AO$16,3,FALSE)/1000-HLOOKUP(B55,[2]Result!$A$1:$AO$16,7,FALSE)/1000</f>
        <v>2.742999999999995</v>
      </c>
      <c r="E55" s="44">
        <f>100*(HLOOKUP(B55,[2]Result!$A$1:$AO$16,3,FALSE)-HLOOKUP(B55,[2]Result!$A$1:$AO$16,7,FALSE))/HLOOKUP(B55,[2]Result!$A$1:$AO$16,3,FALSE)</f>
        <v>0.83230673067003269</v>
      </c>
      <c r="F55" s="44"/>
      <c r="G55" s="45">
        <f>HLOOKUP(B55,[2]Result!$A$1:$AO$16,10,FALSE)/1000</f>
        <v>26.324000000000002</v>
      </c>
      <c r="H55" s="45">
        <f>HLOOKUP(B55,[2]Result!$A$1:$AQ$16,4,FALSE)/1000</f>
        <v>333.96600000000001</v>
      </c>
      <c r="I55" s="45">
        <f>HLOOKUP(B55,[2]Result!$A$1:$AO$16,4,FALSE)/1000-HLOOKUP(B55,[2]Result!$A$1:$AO$16,8,FALSE)/1000</f>
        <v>6.1750000000000114</v>
      </c>
      <c r="L55" s="4">
        <f>HLOOKUP(B55,[2]Result!$A$1:$AO$16,5,FALSE)/1000</f>
        <v>361.65699999999998</v>
      </c>
      <c r="M55" s="4">
        <f>HLOOKUP(B55,[2]Result!$A$1:$AO$16,5,FALSE)/1000-HLOOKUP(B55,[2]Result!$A$1:$AO$16,9,FALSE)/1000</f>
        <v>3.8919999999999959</v>
      </c>
      <c r="N55" s="45">
        <f>100*(HLOOKUP(B55,[2]Result!$A$1:$AO$16,5,FALSE)-HLOOKUP(B55,[2]Result!$A$1:$AO$16,9,FALSE))/HLOOKUP(B55,[2]Result!$A$1:$AO$16,5,FALSE)</f>
        <v>1.076157795922656</v>
      </c>
      <c r="P55" s="45">
        <f>HLOOKUP(B55,[2]Result!$A$1:$AO$16,12,FALSE)/1000</f>
        <v>12.177</v>
      </c>
      <c r="Q55" s="3">
        <f>(L55/C55-1)*100</f>
        <v>9.7373515471863126</v>
      </c>
    </row>
    <row r="56" spans="1:17" s="45" customFormat="1" x14ac:dyDescent="0.25">
      <c r="B56" s="45" t="s">
        <v>228</v>
      </c>
      <c r="C56" s="45" t="e">
        <f>HLOOKUP(B56,#REF!,53,FALSE)/1000</f>
        <v>#REF!</v>
      </c>
      <c r="D56" s="45" t="e">
        <f>(HLOOKUP(B56,#REF!,53,FALSE)-HLOOKUP(B56,#REF!,57,FALSE))/1000</f>
        <v>#REF!</v>
      </c>
      <c r="E56" s="44" t="e">
        <f>100*(HLOOKUP(B56,#REF!,53,FALSE)-HLOOKUP(B56,#REF!,57,FALSE))/HLOOKUP(B56,#REF!,53,FALSE)</f>
        <v>#REF!</v>
      </c>
      <c r="F56" s="44"/>
      <c r="G56" s="21"/>
      <c r="H56" s="45" t="e">
        <f>HLOOKUP(B56,#REF!,54,FALSE)/1000</f>
        <v>#REF!</v>
      </c>
      <c r="I56" s="45" t="e">
        <f>(HLOOKUP(B56,#REF!,54,FALSE)-HLOOKUP(B56,#REF!,58,FALSE))/1000</f>
        <v>#REF!</v>
      </c>
      <c r="J56" s="21"/>
      <c r="K56" s="21"/>
      <c r="L56" s="4" t="e">
        <f>HLOOKUP(B56,#REF!,55,FALSE)/1000</f>
        <v>#REF!</v>
      </c>
      <c r="M56" s="4" t="e">
        <f>(HLOOKUP(B56,#REF!,55,FALSE)-HLOOKUP(B56,#REF!,59,FALSE))/1000</f>
        <v>#REF!</v>
      </c>
      <c r="N56" s="45" t="e">
        <f>100*(HLOOKUP(B56,#REF!,55,FALSE)-HLOOKUP(B56,#REF!,59,FALSE))/HLOOKUP(B56,#REF!,55,FALSE)</f>
        <v>#REF!</v>
      </c>
      <c r="Q56" s="3" t="e">
        <f t="shared" ref="Q56" si="3">(L56/C56-1)*100</f>
        <v>#REF!</v>
      </c>
    </row>
    <row r="57" spans="1:17" x14ac:dyDescent="0.25">
      <c r="C57" s="4" t="e">
        <f>SUM(C3:C54)</f>
        <v>#REF!</v>
      </c>
      <c r="D57" s="4" t="e">
        <f>SUM(D3:D54)</f>
        <v>#REF!</v>
      </c>
      <c r="E57" s="4"/>
      <c r="F57" s="96" t="e">
        <f>D57/C57</f>
        <v>#REF!</v>
      </c>
      <c r="H57" s="4" t="e">
        <f>SUM(H3:H54)</f>
        <v>#REF!</v>
      </c>
      <c r="I57" s="4" t="e">
        <f>SUM(I3:I54)</f>
        <v>#REF!</v>
      </c>
      <c r="K57" s="96" t="e">
        <f>I57/H57</f>
        <v>#REF!</v>
      </c>
      <c r="L57" s="4" t="e">
        <f>SUM(L3:L54)</f>
        <v>#REF!</v>
      </c>
      <c r="M57" s="4" t="e">
        <f>SUM(M3:M54)</f>
        <v>#REF!</v>
      </c>
      <c r="N57" s="4" t="e">
        <f>SUM(N3:N54)</f>
        <v>#REF!</v>
      </c>
      <c r="O57" s="96" t="e">
        <f>M57/L57</f>
        <v>#REF!</v>
      </c>
    </row>
    <row r="58" spans="1:17" x14ac:dyDescent="0.25">
      <c r="L58" s="4" t="e">
        <f>L57/ТБ2!I75</f>
        <v>#REF!</v>
      </c>
    </row>
    <row r="61" spans="1:17" x14ac:dyDescent="0.25">
      <c r="A61" t="s">
        <v>154</v>
      </c>
      <c r="C61" s="46" t="e">
        <f>C57</f>
        <v>#REF!</v>
      </c>
      <c r="D61" s="46" t="e">
        <f>D57</f>
        <v>#REF!</v>
      </c>
      <c r="E61" s="46">
        <f>E57</f>
        <v>0</v>
      </c>
      <c r="F61" s="46"/>
      <c r="G61" s="46"/>
      <c r="H61" s="46" t="e">
        <f>H57</f>
        <v>#REF!</v>
      </c>
      <c r="I61" s="46" t="e">
        <f>I57</f>
        <v>#REF!</v>
      </c>
      <c r="J61" s="46"/>
      <c r="K61" s="46"/>
      <c r="L61" s="46" t="e">
        <f>L57</f>
        <v>#REF!</v>
      </c>
      <c r="M61" s="46" t="e">
        <f>M57</f>
        <v>#REF!</v>
      </c>
      <c r="N61" s="45"/>
    </row>
    <row r="62" spans="1:17" x14ac:dyDescent="0.25">
      <c r="A62" t="s">
        <v>155</v>
      </c>
      <c r="C62" s="93" t="e">
        <f>ТБ3!K29</f>
        <v>#REF!</v>
      </c>
      <c r="D62" s="93" t="e">
        <f>ТБ3!K29-ТБ3!L29</f>
        <v>#REF!</v>
      </c>
      <c r="E62" s="46"/>
      <c r="F62" s="46"/>
      <c r="G62" s="46"/>
      <c r="H62" s="46" t="e">
        <f>ТБ3!G29</f>
        <v>#REF!</v>
      </c>
      <c r="I62" s="46" t="e">
        <f>ТБ3!G29-ТБ3!H29</f>
        <v>#REF!</v>
      </c>
      <c r="J62" s="46"/>
      <c r="K62" s="46"/>
      <c r="L62" s="46" t="e">
        <f>ТБ3!C29</f>
        <v>#REF!</v>
      </c>
      <c r="M62" s="46" t="e">
        <f>ТБ3!C29-ТБ3!D29</f>
        <v>#REF!</v>
      </c>
      <c r="P62" s="45"/>
    </row>
    <row r="63" spans="1:17" x14ac:dyDescent="0.25">
      <c r="A63" t="s">
        <v>156</v>
      </c>
      <c r="C63" s="46" t="e">
        <f>ТБ5!C25</f>
        <v>#REF!</v>
      </c>
      <c r="D63" s="46" t="e">
        <f>ТБ5!C25-ТБ5!D25</f>
        <v>#REF!</v>
      </c>
      <c r="E63" s="46"/>
      <c r="F63" s="46"/>
      <c r="G63" s="46"/>
      <c r="H63" s="46" t="e">
        <f>ТБ5!F25</f>
        <v>#REF!</v>
      </c>
      <c r="I63" s="46" t="e">
        <f>ТБ5!F25-ТБ5!G25</f>
        <v>#REF!</v>
      </c>
      <c r="J63" s="46"/>
      <c r="K63" s="46"/>
      <c r="L63" s="93" t="e">
        <f>ТБ5!I25</f>
        <v>#REF!</v>
      </c>
      <c r="M63" s="93" t="e">
        <f>ТБ5!I25-ТБ5!J25</f>
        <v>#REF!</v>
      </c>
    </row>
    <row r="64" spans="1:17" s="45" customFormat="1" x14ac:dyDescent="0.25">
      <c r="A64" s="45" t="s">
        <v>158</v>
      </c>
      <c r="B64" s="36"/>
      <c r="C64" s="46" t="e">
        <f>SUM(C61:C63)</f>
        <v>#REF!</v>
      </c>
      <c r="D64" s="46" t="e">
        <f>SUM(D61:D63)</f>
        <v>#REF!</v>
      </c>
      <c r="E64" s="46"/>
      <c r="F64" s="46"/>
      <c r="G64" s="46"/>
      <c r="H64" s="46" t="e">
        <f>SUM(H61:H63)</f>
        <v>#REF!</v>
      </c>
      <c r="I64" s="46" t="e">
        <f>SUM(I61:I63)</f>
        <v>#REF!</v>
      </c>
      <c r="J64" s="46"/>
      <c r="K64" s="46"/>
      <c r="L64" s="46" t="e">
        <f>SUM(L61:L63)</f>
        <v>#REF!</v>
      </c>
      <c r="M64" s="46" t="e">
        <f>SUM(M61:M63)</f>
        <v>#REF!</v>
      </c>
      <c r="Q64" s="3"/>
    </row>
    <row r="65" spans="1:17" s="45" customFormat="1" x14ac:dyDescent="0.25">
      <c r="B65" s="36"/>
      <c r="E65" s="44"/>
      <c r="F65" s="82"/>
      <c r="K65" s="82"/>
      <c r="L65" s="4"/>
      <c r="M65" s="4"/>
      <c r="O65" s="82"/>
      <c r="Q65" s="3"/>
    </row>
    <row r="66" spans="1:17" s="45" customFormat="1" x14ac:dyDescent="0.25">
      <c r="B66" s="36"/>
      <c r="E66" s="44"/>
      <c r="F66" s="82"/>
      <c r="K66" s="82"/>
      <c r="L66" s="4"/>
      <c r="M66" s="4"/>
      <c r="O66" s="82"/>
      <c r="Q66" s="3"/>
    </row>
    <row r="67" spans="1:17" x14ac:dyDescent="0.25">
      <c r="F67" s="17">
        <v>43282</v>
      </c>
      <c r="K67" s="17">
        <v>43466</v>
      </c>
      <c r="O67" s="17">
        <v>43647</v>
      </c>
    </row>
    <row r="68" spans="1:17" x14ac:dyDescent="0.25">
      <c r="A68" s="45" t="s">
        <v>154</v>
      </c>
      <c r="F68" s="96" t="e">
        <f>D61/C61</f>
        <v>#REF!</v>
      </c>
      <c r="K68" s="96" t="e">
        <f>I61/H61</f>
        <v>#REF!</v>
      </c>
      <c r="O68" s="96" t="e">
        <f>M61/L61</f>
        <v>#REF!</v>
      </c>
      <c r="Q68" s="82" t="e">
        <f>O68-K68</f>
        <v>#REF!</v>
      </c>
    </row>
    <row r="69" spans="1:17" x14ac:dyDescent="0.25">
      <c r="A69" s="45" t="s">
        <v>155</v>
      </c>
      <c r="F69" s="96" t="e">
        <f>D62/C62</f>
        <v>#REF!</v>
      </c>
      <c r="K69" s="96" t="e">
        <f>I62/H62</f>
        <v>#REF!</v>
      </c>
      <c r="O69" s="96" t="e">
        <f>M62/L62</f>
        <v>#REF!</v>
      </c>
      <c r="Q69" s="82" t="e">
        <f>O69-K69</f>
        <v>#REF!</v>
      </c>
    </row>
    <row r="70" spans="1:17" x14ac:dyDescent="0.25">
      <c r="A70" s="45" t="s">
        <v>156</v>
      </c>
      <c r="F70" s="96" t="e">
        <f>D63/C63</f>
        <v>#REF!</v>
      </c>
      <c r="K70" s="96" t="e">
        <f>I63/H63</f>
        <v>#REF!</v>
      </c>
      <c r="O70" s="96" t="e">
        <f>M63/L63</f>
        <v>#REF!</v>
      </c>
      <c r="Q70" s="82" t="e">
        <f>O70-K70</f>
        <v>#REF!</v>
      </c>
    </row>
    <row r="71" spans="1:17" x14ac:dyDescent="0.25">
      <c r="A71" s="45" t="s">
        <v>158</v>
      </c>
      <c r="F71" s="97" t="e">
        <f>D64/C64</f>
        <v>#REF!</v>
      </c>
      <c r="K71" s="97" t="e">
        <f>I64/H64</f>
        <v>#REF!</v>
      </c>
      <c r="O71" s="97" t="e">
        <f>M64/L64</f>
        <v>#REF!</v>
      </c>
      <c r="Q71" s="82" t="e">
        <f>O71-K71</f>
        <v>#REF!</v>
      </c>
    </row>
    <row r="74" spans="1:17" x14ac:dyDescent="0.25">
      <c r="L74" s="45"/>
      <c r="M74" s="45"/>
      <c r="N74" s="45"/>
      <c r="P74" s="45"/>
    </row>
    <row r="75" spans="1:17" x14ac:dyDescent="0.25">
      <c r="K75" s="2" t="s">
        <v>159</v>
      </c>
      <c r="L75" s="46" t="e">
        <f>L64</f>
        <v>#REF!</v>
      </c>
      <c r="M75" s="46" t="e">
        <f>M64</f>
        <v>#REF!</v>
      </c>
      <c r="N75" s="45"/>
      <c r="P75" s="45"/>
    </row>
    <row r="76" spans="1:17" s="45" customFormat="1" x14ac:dyDescent="0.25">
      <c r="B76" s="36"/>
      <c r="E76" s="44"/>
      <c r="F76" s="44"/>
      <c r="K76" s="2" t="s">
        <v>161</v>
      </c>
      <c r="L76" s="46" t="e">
        <f>L78-L75-L77</f>
        <v>#REF!</v>
      </c>
      <c r="M76" s="46" t="e">
        <f>L76*O71</f>
        <v>#REF!</v>
      </c>
      <c r="Q76" s="3"/>
    </row>
    <row r="77" spans="1:17" x14ac:dyDescent="0.25">
      <c r="K77" s="2" t="s">
        <v>160</v>
      </c>
      <c r="L77" s="46">
        <v>57000</v>
      </c>
      <c r="M77" s="46">
        <f>N77*L77</f>
        <v>5700</v>
      </c>
      <c r="N77" s="98">
        <v>0.1</v>
      </c>
      <c r="O77" s="45" t="s">
        <v>163</v>
      </c>
      <c r="P77" s="45"/>
    </row>
    <row r="78" spans="1:17" x14ac:dyDescent="0.25">
      <c r="K78" s="2" t="s">
        <v>162</v>
      </c>
      <c r="L78" s="46">
        <v>183400</v>
      </c>
      <c r="M78" s="46" t="e">
        <f>SUM(M75:M77)</f>
        <v>#REF!</v>
      </c>
      <c r="N78" s="82" t="e">
        <f>M78/L78</f>
        <v>#REF!</v>
      </c>
      <c r="O78" s="45" t="s">
        <v>164</v>
      </c>
      <c r="P78" s="45"/>
    </row>
    <row r="79" spans="1:17" x14ac:dyDescent="0.25">
      <c r="L79" s="45"/>
      <c r="M79" s="45"/>
      <c r="N79" s="45"/>
      <c r="P79" s="45"/>
    </row>
    <row r="80" spans="1:17" x14ac:dyDescent="0.25">
      <c r="L80" s="45"/>
      <c r="M80" s="45"/>
      <c r="N80" s="45"/>
      <c r="P80" s="45"/>
    </row>
    <row r="81" spans="12:16" x14ac:dyDescent="0.25">
      <c r="L81" s="45"/>
      <c r="M81" s="45"/>
      <c r="N81" s="45"/>
      <c r="P81" s="45"/>
    </row>
    <row r="82" spans="12:16" x14ac:dyDescent="0.25">
      <c r="L82" s="45"/>
      <c r="M82" s="45"/>
      <c r="N82" s="45"/>
      <c r="P82" s="45"/>
    </row>
    <row r="83" spans="12:16" x14ac:dyDescent="0.25">
      <c r="L83" s="45"/>
      <c r="M83" s="45"/>
      <c r="N83" s="45"/>
      <c r="P83" s="45"/>
    </row>
  </sheetData>
  <sortState xmlns:xlrd2="http://schemas.microsoft.com/office/spreadsheetml/2017/richdata2" ref="B3:Q62">
    <sortCondition descending="1" ref="L2"/>
  </sortState>
  <mergeCells count="3">
    <mergeCell ref="C1:G1"/>
    <mergeCell ref="L1:P1"/>
    <mergeCell ref="H1:K1"/>
  </mergeCells>
  <pageMargins left="0.7" right="0.7" top="0.75" bottom="0.75" header="0.3" footer="0.3"/>
  <pageSetup paperSize="9"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16B56-5A6E-49A1-9C4C-1394F0734595}">
  <sheetPr codeName="Лист9">
    <tabColor theme="9" tint="0.79998168889431442"/>
  </sheetPr>
  <dimension ref="A1:L44"/>
  <sheetViews>
    <sheetView workbookViewId="0"/>
  </sheetViews>
  <sheetFormatPr defaultColWidth="9.140625" defaultRowHeight="15" x14ac:dyDescent="0.25"/>
  <cols>
    <col min="1" max="1" width="9.140625" style="19"/>
    <col min="2" max="2" width="46.140625" style="19" customWidth="1"/>
    <col min="3" max="4" width="15.7109375" style="48" customWidth="1"/>
    <col min="5" max="5" width="10.7109375" style="49" customWidth="1"/>
    <col min="6" max="6" width="13.7109375" style="100" bestFit="1" customWidth="1"/>
    <col min="7" max="7" width="11.85546875" style="20" customWidth="1"/>
    <col min="8" max="8" width="8.85546875"/>
    <col min="9" max="9" width="11.7109375" style="19" customWidth="1"/>
    <col min="10" max="11" width="9.140625" style="19"/>
    <col min="12" max="12" width="8.85546875"/>
    <col min="13" max="15" width="9.140625" style="19"/>
    <col min="16" max="16" width="10" style="19" bestFit="1" customWidth="1"/>
    <col min="17" max="16384" width="9.140625" style="19"/>
  </cols>
  <sheetData>
    <row r="1" spans="1:8" x14ac:dyDescent="0.25">
      <c r="A1" s="20" t="s">
        <v>275</v>
      </c>
    </row>
    <row r="2" spans="1:8" s="47" customFormat="1" ht="66" customHeight="1" x14ac:dyDescent="0.25">
      <c r="A2" s="51" t="s">
        <v>276</v>
      </c>
      <c r="B2" s="51" t="s">
        <v>0</v>
      </c>
      <c r="C2" s="52" t="s">
        <v>277</v>
      </c>
      <c r="D2" s="52" t="s">
        <v>278</v>
      </c>
      <c r="E2" s="53" t="s">
        <v>254</v>
      </c>
      <c r="F2" s="100"/>
      <c r="G2" s="160"/>
    </row>
    <row r="3" spans="1:8" x14ac:dyDescent="0.25">
      <c r="A3" s="30">
        <v>1</v>
      </c>
      <c r="B3" s="30" t="s">
        <v>173</v>
      </c>
      <c r="C3" s="58">
        <v>1944.778</v>
      </c>
      <c r="D3" s="58">
        <v>1292.3489999999999</v>
      </c>
      <c r="E3" s="58">
        <f t="shared" ref="E3:E44" si="0">(C3/D3-1)*100</f>
        <v>50.483963697112785</v>
      </c>
      <c r="F3" s="20">
        <f>VLOOKUP(B3,'Табл 7'!$B$4:$J$41,9,0)</f>
        <v>2310981029</v>
      </c>
      <c r="H3" s="19"/>
    </row>
    <row r="4" spans="1:8" x14ac:dyDescent="0.25">
      <c r="A4" s="30">
        <v>2</v>
      </c>
      <c r="B4" s="124" t="s">
        <v>250</v>
      </c>
      <c r="C4" s="58">
        <v>1352.0542</v>
      </c>
      <c r="D4" s="58">
        <v>784.03519999999992</v>
      </c>
      <c r="E4" s="58">
        <f t="shared" si="0"/>
        <v>72.448150287129991</v>
      </c>
      <c r="F4" s="20">
        <f>VLOOKUP(B4,'Табл 7'!$B$4:$J$41,9,0)</f>
        <v>9102023109</v>
      </c>
      <c r="H4" s="19"/>
    </row>
    <row r="5" spans="1:8" x14ac:dyDescent="0.25">
      <c r="A5" s="30">
        <v>3</v>
      </c>
      <c r="B5" s="124" t="s">
        <v>243</v>
      </c>
      <c r="C5" s="58">
        <v>1279.991</v>
      </c>
      <c r="D5" s="58">
        <v>1160.4090000000001</v>
      </c>
      <c r="E5" s="58">
        <f t="shared" si="0"/>
        <v>10.305159646297124</v>
      </c>
      <c r="F5" s="20">
        <f>VLOOKUP(B5,'Табл 7'!$B$4:$J$41,9,0)</f>
        <v>6671118019</v>
      </c>
      <c r="H5" s="19"/>
    </row>
    <row r="6" spans="1:8" x14ac:dyDescent="0.25">
      <c r="A6" s="30">
        <v>4</v>
      </c>
      <c r="B6" s="124" t="s">
        <v>172</v>
      </c>
      <c r="C6" s="58">
        <v>1234.19951492</v>
      </c>
      <c r="D6" s="58">
        <v>1088.0588351000001</v>
      </c>
      <c r="E6" s="58">
        <f t="shared" si="0"/>
        <v>13.431321460348089</v>
      </c>
      <c r="F6" s="20">
        <f>VLOOKUP(B6,'Табл 7'!$B$4:$J$41,9,0)</f>
        <v>1831045838</v>
      </c>
      <c r="H6" s="19"/>
    </row>
    <row r="7" spans="1:8" x14ac:dyDescent="0.25">
      <c r="A7" s="30">
        <v>5</v>
      </c>
      <c r="B7" s="124" t="s">
        <v>171</v>
      </c>
      <c r="C7" s="58">
        <v>1097.296</v>
      </c>
      <c r="D7" s="58">
        <v>1001.4109999999999</v>
      </c>
      <c r="E7" s="58">
        <f t="shared" si="0"/>
        <v>9.5749896895480635</v>
      </c>
      <c r="F7" s="20">
        <f>VLOOKUP(B7,'Табл 7'!$B$4:$J$41,9,0)</f>
        <v>6164072742</v>
      </c>
      <c r="H7" s="19"/>
    </row>
    <row r="8" spans="1:8" x14ac:dyDescent="0.25">
      <c r="A8" s="30">
        <v>6</v>
      </c>
      <c r="B8" s="124" t="s">
        <v>177</v>
      </c>
      <c r="C8" s="58">
        <v>1006.643</v>
      </c>
      <c r="D8" s="58">
        <v>656.26700000000005</v>
      </c>
      <c r="E8" s="58">
        <f t="shared" si="0"/>
        <v>53.389245535734673</v>
      </c>
      <c r="F8" s="20">
        <f>VLOOKUP(B8,'Табл 7'!$B$4:$J$41,9,0)</f>
        <v>2130058291</v>
      </c>
      <c r="H8" s="19"/>
    </row>
    <row r="9" spans="1:8" x14ac:dyDescent="0.25">
      <c r="A9" s="30">
        <v>7</v>
      </c>
      <c r="B9" s="124" t="s">
        <v>188</v>
      </c>
      <c r="C9" s="58">
        <v>908.83699999999999</v>
      </c>
      <c r="D9" s="58">
        <v>509.54199999999997</v>
      </c>
      <c r="E9" s="58">
        <f t="shared" si="0"/>
        <v>78.363510760643877</v>
      </c>
      <c r="F9" s="20">
        <f>VLOOKUP(B9,'Табл 7'!$B$4:$J$41,9,0)</f>
        <v>5321059541</v>
      </c>
      <c r="H9" s="19"/>
    </row>
    <row r="10" spans="1:8" x14ac:dyDescent="0.25">
      <c r="A10" s="30">
        <v>8</v>
      </c>
      <c r="B10" s="124" t="s">
        <v>175</v>
      </c>
      <c r="C10" s="58">
        <v>894.78899999999999</v>
      </c>
      <c r="D10" s="58">
        <v>742.77200000000005</v>
      </c>
      <c r="E10" s="58">
        <f t="shared" si="0"/>
        <v>20.466172661328088</v>
      </c>
      <c r="F10" s="20">
        <f>VLOOKUP(B10,'Табл 7'!$B$4:$J$41,9,0)</f>
        <v>2634091033</v>
      </c>
      <c r="H10" s="19"/>
    </row>
    <row r="11" spans="1:8" x14ac:dyDescent="0.25">
      <c r="A11" s="30">
        <v>9</v>
      </c>
      <c r="B11" s="124" t="s">
        <v>178</v>
      </c>
      <c r="C11" s="58">
        <v>885.82399999999996</v>
      </c>
      <c r="D11" s="58">
        <v>642.41700000000003</v>
      </c>
      <c r="E11" s="58">
        <f t="shared" si="0"/>
        <v>37.889252619404523</v>
      </c>
      <c r="F11" s="20">
        <f>VLOOKUP(B11,'Табл 7'!$B$4:$J$41,9,0)</f>
        <v>5406570716</v>
      </c>
      <c r="H11" s="19"/>
    </row>
    <row r="12" spans="1:8" x14ac:dyDescent="0.25">
      <c r="A12" s="30">
        <v>10</v>
      </c>
      <c r="B12" s="124" t="s">
        <v>268</v>
      </c>
      <c r="C12" s="70">
        <v>803.61400000000003</v>
      </c>
      <c r="D12" s="70">
        <v>575.63565000000006</v>
      </c>
      <c r="E12" s="58">
        <f t="shared" si="0"/>
        <v>39.604626641869721</v>
      </c>
      <c r="F12" s="20">
        <f>VLOOKUP(B12,'Табл 7'!$B$4:$J$41,9,0)</f>
        <v>2221171632</v>
      </c>
      <c r="H12" s="19"/>
    </row>
    <row r="13" spans="1:8" x14ac:dyDescent="0.25">
      <c r="A13" s="30">
        <v>11</v>
      </c>
      <c r="B13" s="124" t="s">
        <v>238</v>
      </c>
      <c r="C13" s="70">
        <v>754.92499999999995</v>
      </c>
      <c r="D13" s="70">
        <v>800.86</v>
      </c>
      <c r="E13" s="58">
        <f t="shared" si="0"/>
        <v>-5.7357091127038462</v>
      </c>
      <c r="F13" s="20">
        <f>VLOOKUP(B13,'Табл 7'!$B$4:$J$41,9,0)</f>
        <v>8601042850</v>
      </c>
      <c r="H13" s="19"/>
    </row>
    <row r="14" spans="1:8" x14ac:dyDescent="0.25">
      <c r="A14" s="30">
        <v>12</v>
      </c>
      <c r="B14" s="124" t="s">
        <v>239</v>
      </c>
      <c r="C14" s="70">
        <v>683.52499999999998</v>
      </c>
      <c r="D14" s="70">
        <v>525.88</v>
      </c>
      <c r="E14" s="58">
        <f t="shared" si="0"/>
        <v>29.977371263406095</v>
      </c>
      <c r="F14" s="20">
        <f>VLOOKUP(B14,'Табл 7'!$B$4:$J$41,9,0)</f>
        <v>4824047100</v>
      </c>
      <c r="H14" s="19"/>
    </row>
    <row r="15" spans="1:8" x14ac:dyDescent="0.25">
      <c r="A15" s="30">
        <v>13</v>
      </c>
      <c r="B15" s="142" t="s">
        <v>236</v>
      </c>
      <c r="C15" s="70">
        <v>671.91800000000001</v>
      </c>
      <c r="D15" s="70">
        <v>273.005</v>
      </c>
      <c r="E15" s="58">
        <f t="shared" si="0"/>
        <v>146.11930184428857</v>
      </c>
      <c r="F15" s="20">
        <f>VLOOKUP(B15,'Табл 7'!$B$4:$J$41,9,0)</f>
        <v>5902198365</v>
      </c>
      <c r="H15" s="19"/>
    </row>
    <row r="16" spans="1:8" x14ac:dyDescent="0.25">
      <c r="A16" s="30">
        <v>14</v>
      </c>
      <c r="B16" s="124" t="s">
        <v>181</v>
      </c>
      <c r="C16" s="70">
        <v>624.36500000000001</v>
      </c>
      <c r="D16" s="70">
        <v>517.74800000000005</v>
      </c>
      <c r="E16" s="58">
        <f t="shared" si="0"/>
        <v>20.592450381266559</v>
      </c>
      <c r="F16" s="20">
        <f>VLOOKUP(B16,'Табл 7'!$B$4:$J$41,9,0)</f>
        <v>5753990187</v>
      </c>
      <c r="H16" s="19"/>
    </row>
    <row r="17" spans="1:12" x14ac:dyDescent="0.25">
      <c r="A17" s="30">
        <v>15</v>
      </c>
      <c r="B17" s="142" t="s">
        <v>193</v>
      </c>
      <c r="C17" s="70">
        <v>619.30799999999999</v>
      </c>
      <c r="D17" s="70">
        <v>396.19600000000003</v>
      </c>
      <c r="E17" s="58">
        <f t="shared" si="0"/>
        <v>56.313541782350129</v>
      </c>
      <c r="F17" s="20">
        <f>VLOOKUP(B17,'Табл 7'!$B$4:$J$41,9,0)</f>
        <v>7106015641</v>
      </c>
      <c r="H17" s="19"/>
    </row>
    <row r="18" spans="1:12" x14ac:dyDescent="0.25">
      <c r="A18" s="30">
        <v>16</v>
      </c>
      <c r="B18" s="124" t="s">
        <v>179</v>
      </c>
      <c r="C18" s="70">
        <v>616.62199999999996</v>
      </c>
      <c r="D18" s="70">
        <v>398.29899999999998</v>
      </c>
      <c r="E18" s="58">
        <f t="shared" si="0"/>
        <v>54.813845879603008</v>
      </c>
      <c r="F18" s="20">
        <f>VLOOKUP(B18,'Табл 7'!$B$4:$J$41,9,0)</f>
        <v>3525251257</v>
      </c>
      <c r="H18" s="19"/>
    </row>
    <row r="19" spans="1:12" x14ac:dyDescent="0.25">
      <c r="A19" s="30">
        <v>17</v>
      </c>
      <c r="B19" s="124" t="s">
        <v>182</v>
      </c>
      <c r="C19" s="70">
        <v>612.49199999999996</v>
      </c>
      <c r="D19" s="70">
        <v>429.74799999999999</v>
      </c>
      <c r="E19" s="58">
        <f t="shared" si="0"/>
        <v>42.523525414894301</v>
      </c>
      <c r="F19" s="20">
        <f>VLOOKUP(B19,'Табл 7'!$B$4:$J$41,9,0)</f>
        <v>2721052016</v>
      </c>
      <c r="H19" s="19"/>
    </row>
    <row r="20" spans="1:12" x14ac:dyDescent="0.25">
      <c r="A20" s="30">
        <v>18</v>
      </c>
      <c r="B20" s="142" t="s">
        <v>247</v>
      </c>
      <c r="C20" s="70">
        <v>589.98900000000003</v>
      </c>
      <c r="D20" s="70">
        <v>335.72</v>
      </c>
      <c r="E20" s="58">
        <f t="shared" si="0"/>
        <v>75.738412963183606</v>
      </c>
      <c r="F20" s="20">
        <f>VLOOKUP(B20,'Табл 7'!$B$4:$J$41,9,0)</f>
        <v>6952000911</v>
      </c>
      <c r="H20" s="19"/>
    </row>
    <row r="21" spans="1:12" x14ac:dyDescent="0.25">
      <c r="A21" s="30">
        <v>19</v>
      </c>
      <c r="B21" s="124" t="s">
        <v>270</v>
      </c>
      <c r="C21" s="70">
        <v>588.16600000000005</v>
      </c>
      <c r="D21" s="70">
        <v>411.47399999999999</v>
      </c>
      <c r="E21" s="58">
        <f t="shared" si="0"/>
        <v>42.941230794655326</v>
      </c>
      <c r="F21" s="20" t="str">
        <f>VLOOKUP(B21,'Табл 7'!$B$4:$J$41,9,0)</f>
        <v>1326960625, 1326211337</v>
      </c>
      <c r="H21" s="19"/>
    </row>
    <row r="22" spans="1:12" x14ac:dyDescent="0.25">
      <c r="A22" s="30">
        <v>20</v>
      </c>
      <c r="B22" s="142" t="s">
        <v>255</v>
      </c>
      <c r="C22" s="70">
        <v>577.89599999999996</v>
      </c>
      <c r="D22" s="70">
        <v>276.57400000000001</v>
      </c>
      <c r="E22" s="58">
        <f t="shared" si="0"/>
        <v>108.94805730112012</v>
      </c>
      <c r="F22" s="20">
        <f>VLOOKUP(B22,'Табл 7'!$B$4:$J$41,9,0)</f>
        <v>5835073174</v>
      </c>
      <c r="H22" s="19"/>
      <c r="L22" s="45"/>
    </row>
    <row r="23" spans="1:12" x14ac:dyDescent="0.25">
      <c r="A23" s="30">
        <v>21</v>
      </c>
      <c r="B23" s="142" t="s">
        <v>227</v>
      </c>
      <c r="C23" s="70">
        <v>547.875</v>
      </c>
      <c r="D23" s="70">
        <v>389.93099999999998</v>
      </c>
      <c r="E23" s="58">
        <f t="shared" si="0"/>
        <v>40.505627918785649</v>
      </c>
      <c r="F23" s="20">
        <f>VLOOKUP(B23,'Табл 7'!$B$4:$J$41,9,0)</f>
        <v>4101091354</v>
      </c>
      <c r="H23" s="19"/>
    </row>
    <row r="24" spans="1:12" x14ac:dyDescent="0.25">
      <c r="A24" s="30">
        <v>22</v>
      </c>
      <c r="B24" s="124" t="s">
        <v>249</v>
      </c>
      <c r="C24" s="58">
        <v>535.54359999999997</v>
      </c>
      <c r="D24" s="58">
        <v>205.8536</v>
      </c>
      <c r="E24" s="58">
        <f t="shared" si="0"/>
        <v>160.1575099973962</v>
      </c>
      <c r="F24" s="20">
        <f>VLOOKUP(B24,'Табл 7'!$B$4:$J$41,9,0)</f>
        <v>5260248556</v>
      </c>
      <c r="H24" s="19"/>
    </row>
    <row r="25" spans="1:12" x14ac:dyDescent="0.25">
      <c r="A25" s="30">
        <v>23</v>
      </c>
      <c r="B25" s="124" t="s">
        <v>271</v>
      </c>
      <c r="C25" s="58">
        <v>521.14300000000003</v>
      </c>
      <c r="D25" s="58">
        <v>524.45699999999999</v>
      </c>
      <c r="E25" s="58">
        <f t="shared" si="0"/>
        <v>-0.63189165174646345</v>
      </c>
      <c r="F25" s="20">
        <f>VLOOKUP(B25,'Табл 7'!$B$4:$J$41,9,0)</f>
        <v>275066729</v>
      </c>
      <c r="H25" s="19"/>
    </row>
    <row r="26" spans="1:12" x14ac:dyDescent="0.25">
      <c r="A26" s="30">
        <v>24</v>
      </c>
      <c r="B26" s="142" t="s">
        <v>187</v>
      </c>
      <c r="C26" s="58">
        <v>476.899</v>
      </c>
      <c r="D26" s="58">
        <v>321.77</v>
      </c>
      <c r="E26" s="58">
        <f t="shared" si="0"/>
        <v>48.211144606395884</v>
      </c>
      <c r="F26" s="20">
        <f>VLOOKUP(B26,'Табл 7'!$B$4:$J$41,9,0)</f>
        <v>3666144160</v>
      </c>
      <c r="H26" s="19"/>
    </row>
    <row r="27" spans="1:12" x14ac:dyDescent="0.25">
      <c r="A27" s="30">
        <v>25</v>
      </c>
      <c r="B27" s="142" t="s">
        <v>244</v>
      </c>
      <c r="C27" s="58">
        <v>475.86500000000001</v>
      </c>
      <c r="D27" s="58">
        <v>349.95600000000002</v>
      </c>
      <c r="E27" s="58">
        <f t="shared" si="0"/>
        <v>35.978523014321809</v>
      </c>
      <c r="F27" s="20">
        <f>VLOOKUP(B27,'Табл 7'!$B$4:$J$41,9,0)</f>
        <v>5038072003</v>
      </c>
      <c r="H27" s="19"/>
    </row>
    <row r="28" spans="1:12" x14ac:dyDescent="0.25">
      <c r="A28" s="30">
        <v>26</v>
      </c>
      <c r="B28" s="149" t="s">
        <v>192</v>
      </c>
      <c r="C28" s="133">
        <v>446.19600000000003</v>
      </c>
      <c r="D28" s="133">
        <v>463.42</v>
      </c>
      <c r="E28" s="58">
        <f t="shared" si="0"/>
        <v>-3.7167148590911081</v>
      </c>
      <c r="F28" s="20">
        <f>VLOOKUP(B28,'Табл 7'!$B$4:$J$41,9,0)</f>
        <v>3328999318</v>
      </c>
      <c r="H28" s="19"/>
    </row>
    <row r="29" spans="1:12" x14ac:dyDescent="0.25">
      <c r="A29" s="30">
        <v>27</v>
      </c>
      <c r="B29" s="142" t="s">
        <v>272</v>
      </c>
      <c r="C29" s="58">
        <v>411.113</v>
      </c>
      <c r="D29" s="58">
        <v>329.47500000000002</v>
      </c>
      <c r="E29" s="58">
        <f t="shared" si="0"/>
        <v>24.778207754761361</v>
      </c>
      <c r="F29" s="20">
        <f>VLOOKUP(B29,'Табл 7'!$B$4:$J$41,9,0)</f>
        <v>7204137581</v>
      </c>
      <c r="H29" s="19"/>
    </row>
    <row r="30" spans="1:12" x14ac:dyDescent="0.25">
      <c r="A30" s="30">
        <v>28</v>
      </c>
      <c r="B30" s="124" t="s">
        <v>242</v>
      </c>
      <c r="C30" s="58">
        <v>404.98941100000002</v>
      </c>
      <c r="D30" s="58">
        <v>403.11200000000002</v>
      </c>
      <c r="E30" s="58">
        <f t="shared" si="0"/>
        <v>0.46572937545892312</v>
      </c>
      <c r="F30" s="20">
        <f>VLOOKUP(B30,'Табл 7'!$B$4:$J$41,9,0)</f>
        <v>2901204067</v>
      </c>
      <c r="H30" s="19"/>
    </row>
    <row r="31" spans="1:12" x14ac:dyDescent="0.25">
      <c r="A31" s="30">
        <v>29</v>
      </c>
      <c r="B31" s="124" t="s">
        <v>240</v>
      </c>
      <c r="C31" s="58">
        <v>358.846</v>
      </c>
      <c r="D31" s="58">
        <v>148.501</v>
      </c>
      <c r="E31" s="58">
        <f t="shared" si="0"/>
        <v>141.64551080464105</v>
      </c>
      <c r="F31" s="20">
        <f>VLOOKUP(B31,'Табл 7'!$B$4:$J$41,9,0)</f>
        <v>4632066518</v>
      </c>
      <c r="H31" s="19"/>
    </row>
    <row r="32" spans="1:12" x14ac:dyDescent="0.25">
      <c r="A32" s="30">
        <v>30</v>
      </c>
      <c r="B32" s="142" t="s">
        <v>198</v>
      </c>
      <c r="C32" s="58">
        <v>343.37943000000001</v>
      </c>
      <c r="D32" s="58">
        <v>294.14769999999999</v>
      </c>
      <c r="E32" s="58">
        <f t="shared" si="0"/>
        <v>16.737078005369433</v>
      </c>
      <c r="F32" s="20">
        <f>VLOOKUP(B32,'Табл 7'!$B$4:$J$41,9,0)</f>
        <v>3015028318</v>
      </c>
      <c r="H32" s="19"/>
    </row>
    <row r="33" spans="1:9" x14ac:dyDescent="0.25">
      <c r="A33" s="30">
        <v>31</v>
      </c>
      <c r="B33" s="142" t="s">
        <v>321</v>
      </c>
      <c r="C33" s="58">
        <v>308.76400000000001</v>
      </c>
      <c r="D33" s="58">
        <v>85.864999999999995</v>
      </c>
      <c r="E33" s="58">
        <f t="shared" si="0"/>
        <v>259.59238339253483</v>
      </c>
      <c r="F33" s="20">
        <v>9701125685</v>
      </c>
      <c r="G33" s="100"/>
      <c r="H33" s="45"/>
      <c r="I33" s="20"/>
    </row>
    <row r="34" spans="1:9" x14ac:dyDescent="0.25">
      <c r="A34" s="30">
        <v>32</v>
      </c>
      <c r="B34" s="124" t="s">
        <v>194</v>
      </c>
      <c r="C34" s="58">
        <v>286.76069999999999</v>
      </c>
      <c r="D34" s="58">
        <v>208.00200000000001</v>
      </c>
      <c r="E34" s="58">
        <f t="shared" si="0"/>
        <v>37.8643955346583</v>
      </c>
      <c r="F34" s="20">
        <f>VLOOKUP(B34,'Табл 7'!$B$4:$J$41,9,0)</f>
        <v>6450939546</v>
      </c>
      <c r="H34" s="19"/>
    </row>
    <row r="35" spans="1:9" x14ac:dyDescent="0.25">
      <c r="A35" s="30">
        <v>33</v>
      </c>
      <c r="B35" s="124" t="s">
        <v>248</v>
      </c>
      <c r="C35" s="58">
        <v>177.00299999999999</v>
      </c>
      <c r="D35" s="58">
        <v>71.269289999999998</v>
      </c>
      <c r="E35" s="58">
        <f t="shared" si="0"/>
        <v>148.35802349090329</v>
      </c>
      <c r="F35" s="20">
        <f>VLOOKUP(B35,'Табл 7'!$B$4:$J$41,9,0)</f>
        <v>2801249882</v>
      </c>
      <c r="H35" s="19"/>
    </row>
    <row r="36" spans="1:9" x14ac:dyDescent="0.25">
      <c r="A36" s="30">
        <v>34</v>
      </c>
      <c r="B36" s="124" t="s">
        <v>207</v>
      </c>
      <c r="C36" s="58">
        <v>175.48</v>
      </c>
      <c r="D36" s="58">
        <v>70.295000000000002</v>
      </c>
      <c r="E36" s="58">
        <f t="shared" si="0"/>
        <v>149.63368660644426</v>
      </c>
      <c r="F36" s="20">
        <f>VLOOKUP(B36,'Табл 7'!$B$4:$J$41,9,0)</f>
        <v>7536165141</v>
      </c>
      <c r="H36" s="19"/>
    </row>
    <row r="37" spans="1:9" x14ac:dyDescent="0.25">
      <c r="A37" s="30">
        <v>35</v>
      </c>
      <c r="B37" s="124" t="s">
        <v>213</v>
      </c>
      <c r="C37" s="58">
        <v>106.8</v>
      </c>
      <c r="D37" s="58">
        <v>29.7</v>
      </c>
      <c r="E37" s="58">
        <f t="shared" si="0"/>
        <v>259.59595959595958</v>
      </c>
      <c r="F37" s="20" t="s">
        <v>214</v>
      </c>
      <c r="H37" s="45"/>
    </row>
    <row r="38" spans="1:9" x14ac:dyDescent="0.25">
      <c r="A38" s="30">
        <v>36</v>
      </c>
      <c r="B38" s="124" t="s">
        <v>287</v>
      </c>
      <c r="C38" s="58">
        <v>105.438005</v>
      </c>
      <c r="D38" s="70">
        <v>126.29</v>
      </c>
      <c r="E38" s="58">
        <f t="shared" si="0"/>
        <v>-16.511200411750735</v>
      </c>
      <c r="F38" s="154">
        <v>9701125685</v>
      </c>
      <c r="H38" s="45"/>
    </row>
    <row r="39" spans="1:9" x14ac:dyDescent="0.25">
      <c r="A39" s="30">
        <v>37</v>
      </c>
      <c r="B39" s="124" t="s">
        <v>274</v>
      </c>
      <c r="C39" s="58">
        <v>70.489000000000004</v>
      </c>
      <c r="D39" s="70">
        <v>9</v>
      </c>
      <c r="E39" s="58">
        <f t="shared" si="0"/>
        <v>683.21111111111122</v>
      </c>
      <c r="F39" s="20">
        <f>VLOOKUP(B39,'Табл 7'!$B$4:$J$41,9,0)</f>
        <v>7901550330</v>
      </c>
      <c r="H39" s="19"/>
    </row>
    <row r="40" spans="1:9" x14ac:dyDescent="0.25">
      <c r="A40" s="30">
        <v>38</v>
      </c>
      <c r="B40" s="124" t="s">
        <v>24</v>
      </c>
      <c r="C40" s="58">
        <v>58.617000000000004</v>
      </c>
      <c r="D40" s="70">
        <v>28.23</v>
      </c>
      <c r="E40" s="58">
        <f t="shared" si="0"/>
        <v>107.64080765143467</v>
      </c>
      <c r="F40" s="20">
        <v>5407487242</v>
      </c>
    </row>
    <row r="41" spans="1:9" x14ac:dyDescent="0.25">
      <c r="A41" s="30">
        <v>39</v>
      </c>
      <c r="B41" s="124" t="s">
        <v>241</v>
      </c>
      <c r="C41" s="58">
        <v>52.113999999999997</v>
      </c>
      <c r="D41" s="70">
        <v>47.74</v>
      </c>
      <c r="E41" s="58">
        <f t="shared" si="0"/>
        <v>9.1621281943862432</v>
      </c>
      <c r="F41" s="20">
        <v>3818029140</v>
      </c>
      <c r="H41" s="19"/>
    </row>
    <row r="42" spans="1:9" x14ac:dyDescent="0.25">
      <c r="A42" s="30">
        <v>40</v>
      </c>
      <c r="B42" s="124" t="s">
        <v>246</v>
      </c>
      <c r="C42" s="58">
        <v>40.571280000000002</v>
      </c>
      <c r="D42" s="58">
        <v>127.6075</v>
      </c>
      <c r="E42" s="58">
        <f t="shared" si="0"/>
        <v>-68.206194776952771</v>
      </c>
      <c r="F42" s="20">
        <f>VLOOKUP(B42,'Табл 7'!$B$4:$J$41,9,0)</f>
        <v>1435296482</v>
      </c>
      <c r="H42" s="19"/>
    </row>
    <row r="43" spans="1:9" x14ac:dyDescent="0.25">
      <c r="A43" s="30">
        <v>41</v>
      </c>
      <c r="B43" s="142" t="s">
        <v>273</v>
      </c>
      <c r="C43" s="58">
        <v>25.829000000000001</v>
      </c>
      <c r="D43" s="58">
        <v>20.655000000000001</v>
      </c>
      <c r="E43" s="58">
        <f t="shared" si="0"/>
        <v>25.049624788186886</v>
      </c>
      <c r="F43" s="20">
        <v>1824002590</v>
      </c>
      <c r="H43" s="19"/>
    </row>
    <row r="44" spans="1:9" x14ac:dyDescent="0.25">
      <c r="A44" s="30">
        <v>42</v>
      </c>
      <c r="B44" s="124" t="s">
        <v>224</v>
      </c>
      <c r="C44" s="58">
        <v>1.0589999999999999</v>
      </c>
      <c r="D44" s="58">
        <v>3.5739999999999998</v>
      </c>
      <c r="E44" s="58">
        <f t="shared" si="0"/>
        <v>-70.369334079462789</v>
      </c>
      <c r="F44" s="20">
        <v>7838492459</v>
      </c>
    </row>
  </sheetData>
  <autoFilter ref="A2:L2" xr:uid="{44D257AB-15D0-4E76-9914-C36C743B14DF}">
    <sortState xmlns:xlrd2="http://schemas.microsoft.com/office/spreadsheetml/2017/richdata2" ref="A3:L44">
      <sortCondition descending="1" ref="C2"/>
    </sortState>
  </autoFilter>
  <sortState xmlns:xlrd2="http://schemas.microsoft.com/office/spreadsheetml/2017/richdata2" ref="A3:F39">
    <sortCondition descending="1" ref="C3:C39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1A5E-4958-495D-9B4F-AE8B3E805FCD}">
  <sheetPr codeName="Лист10"/>
  <dimension ref="B1:F60"/>
  <sheetViews>
    <sheetView topLeftCell="A37" workbookViewId="0">
      <selection activeCell="J63" sqref="J63"/>
    </sheetView>
  </sheetViews>
  <sheetFormatPr defaultColWidth="9.140625" defaultRowHeight="15" x14ac:dyDescent="0.25"/>
  <cols>
    <col min="1" max="1" width="9.140625" style="45"/>
    <col min="2" max="2" width="24.85546875" style="36" customWidth="1"/>
    <col min="3" max="3" width="18.85546875" style="45" customWidth="1"/>
    <col min="4" max="4" width="16.7109375" style="45" bestFit="1" customWidth="1"/>
    <col min="5" max="5" width="17.7109375" style="45" customWidth="1"/>
    <col min="6" max="6" width="16.85546875" style="3" customWidth="1"/>
    <col min="7" max="16384" width="9.140625" style="45"/>
  </cols>
  <sheetData>
    <row r="1" spans="2:6" x14ac:dyDescent="0.25">
      <c r="C1" s="40" t="s">
        <v>102</v>
      </c>
      <c r="D1" s="40" t="s">
        <v>103</v>
      </c>
      <c r="E1" s="40" t="s">
        <v>101</v>
      </c>
    </row>
    <row r="2" spans="2:6" x14ac:dyDescent="0.25">
      <c r="C2" s="45" t="s">
        <v>106</v>
      </c>
      <c r="D2" s="45" t="s">
        <v>108</v>
      </c>
      <c r="E2" s="45" t="s">
        <v>107</v>
      </c>
      <c r="F2" s="3" t="s">
        <v>104</v>
      </c>
    </row>
    <row r="3" spans="2:6" x14ac:dyDescent="0.25">
      <c r="B3" s="45" t="s">
        <v>73</v>
      </c>
      <c r="C3" s="46">
        <f>HLOOKUP(B3,[2]Result!$B$1:$AO$16,13,FALSE)</f>
        <v>203078</v>
      </c>
      <c r="D3" s="46">
        <f>HLOOKUP(B3,[2]Result!$B$1:$AO$16,14,FALSE)-HLOOKUP(B3,[2]Result!$B$1:$AO$16,13,FALSE)</f>
        <v>340021</v>
      </c>
      <c r="E3" s="46">
        <f>HLOOKUP(B3,[2]Result!$B$1:$AO$16,15,FALSE)</f>
        <v>547474</v>
      </c>
      <c r="F3" s="3">
        <f t="shared" ref="F3:F34" si="0">(E3/C3-1)*100</f>
        <v>169.5880400634239</v>
      </c>
    </row>
    <row r="4" spans="2:6" x14ac:dyDescent="0.25">
      <c r="B4" s="45" t="s">
        <v>71</v>
      </c>
      <c r="C4" s="46">
        <f>HLOOKUP(B4,[2]Result!$B$1:$AO$16,13,FALSE)</f>
        <v>323455</v>
      </c>
      <c r="D4" s="46">
        <f>HLOOKUP(B4,[2]Result!$B$1:$AO$16,14,FALSE)-HLOOKUP(B4,[2]Result!$B$1:$AO$16,13,FALSE)</f>
        <v>489892</v>
      </c>
      <c r="E4" s="46">
        <f>HLOOKUP(B4,[2]Result!$B$1:$AO$16,15,FALSE)</f>
        <v>423947</v>
      </c>
      <c r="F4" s="3">
        <f t="shared" si="0"/>
        <v>31.068309347513569</v>
      </c>
    </row>
    <row r="5" spans="2:6" x14ac:dyDescent="0.25">
      <c r="B5" s="45" t="s">
        <v>59</v>
      </c>
      <c r="C5" s="46">
        <f>HLOOKUP(B5,[2]Result!$B$1:$AO$16,13,FALSE)</f>
        <v>362194.1</v>
      </c>
      <c r="D5" s="46">
        <f>HLOOKUP(B5,[2]Result!$B$1:$AO$16,14,FALSE)-HLOOKUP(B5,[2]Result!$B$1:$AO$16,13,FALSE)</f>
        <v>544721.80000000005</v>
      </c>
      <c r="E5" s="46">
        <f>HLOOKUP(B5,[2]Result!$B$1:$AO$16,15,FALSE)</f>
        <v>367951.2</v>
      </c>
      <c r="F5" s="3">
        <f t="shared" si="0"/>
        <v>1.5895068417735247</v>
      </c>
    </row>
    <row r="6" spans="2:6" x14ac:dyDescent="0.25">
      <c r="B6" s="45" t="s">
        <v>75</v>
      </c>
      <c r="C6" s="46">
        <f>HLOOKUP(B6,[2]Result!$B$1:$AO$16,13,FALSE)</f>
        <v>259420</v>
      </c>
      <c r="D6" s="46">
        <f>HLOOKUP(B6,[2]Result!$B$1:$AO$16,14,FALSE)-HLOOKUP(B6,[2]Result!$B$1:$AO$16,13,FALSE)</f>
        <v>363145</v>
      </c>
      <c r="E6" s="46">
        <f>HLOOKUP(B6,[2]Result!$B$1:$AO$16,15,FALSE)</f>
        <v>365305</v>
      </c>
      <c r="F6" s="3">
        <f t="shared" si="0"/>
        <v>40.816051191118639</v>
      </c>
    </row>
    <row r="7" spans="2:6" x14ac:dyDescent="0.25">
      <c r="B7" s="45" t="s">
        <v>84</v>
      </c>
      <c r="C7" s="46">
        <f>HLOOKUP(B7,[2]Result!$B$1:$AO$16,13,FALSE)</f>
        <v>227022</v>
      </c>
      <c r="D7" s="46">
        <f>HLOOKUP(B7,[2]Result!$B$1:$AO$16,14,FALSE)-HLOOKUP(B7,[2]Result!$B$1:$AO$16,13,FALSE)</f>
        <v>271820</v>
      </c>
      <c r="E7" s="46">
        <f>HLOOKUP(B7,[2]Result!$B$1:$AO$16,15,FALSE)</f>
        <v>347347</v>
      </c>
      <c r="F7" s="3">
        <f t="shared" si="0"/>
        <v>53.001471223053272</v>
      </c>
    </row>
    <row r="8" spans="2:6" x14ac:dyDescent="0.25">
      <c r="B8" s="45" t="s">
        <v>80</v>
      </c>
      <c r="C8" s="46">
        <f>HLOOKUP(B8,[2]Result!$B$1:$AO$16,13,FALSE)</f>
        <v>295029</v>
      </c>
      <c r="D8" s="46">
        <f>HLOOKUP(B8,[2]Result!$B$1:$AO$16,14,FALSE)-HLOOKUP(B8,[2]Result!$B$1:$AO$16,13,FALSE)</f>
        <v>365946</v>
      </c>
      <c r="E8" s="46">
        <f>HLOOKUP(B8,[2]Result!$B$1:$AO$16,15,FALSE)</f>
        <v>338040</v>
      </c>
      <c r="F8" s="3">
        <f t="shared" si="0"/>
        <v>14.578566852750075</v>
      </c>
    </row>
    <row r="9" spans="2:6" x14ac:dyDescent="0.25">
      <c r="B9" s="45" t="s">
        <v>83</v>
      </c>
      <c r="C9" s="46">
        <f>HLOOKUP(B9,[2]Result!$B$1:$AO$16,13,FALSE)</f>
        <v>242227</v>
      </c>
      <c r="D9" s="46">
        <f>HLOOKUP(B9,[2]Result!$B$1:$AO$16,14,FALSE)-HLOOKUP(B9,[2]Result!$B$1:$AO$16,13,FALSE)</f>
        <v>253000</v>
      </c>
      <c r="E9" s="46">
        <f>HLOOKUP(B9,[2]Result!$B$1:$AO$16,15,FALSE)</f>
        <v>294715</v>
      </c>
      <c r="F9" s="3">
        <f t="shared" si="0"/>
        <v>21.668930383483254</v>
      </c>
    </row>
    <row r="10" spans="2:6" x14ac:dyDescent="0.25">
      <c r="B10" s="45" t="s">
        <v>67</v>
      </c>
      <c r="C10" s="46">
        <f>HLOOKUP(B10,[2]Result!$B$1:$AO$16,13,FALSE)</f>
        <v>198690</v>
      </c>
      <c r="D10" s="46">
        <f>HLOOKUP(B10,[2]Result!$B$1:$AO$16,14,FALSE)-HLOOKUP(B10,[2]Result!$B$1:$AO$16,13,FALSE)</f>
        <v>205960</v>
      </c>
      <c r="E10" s="46">
        <f>HLOOKUP(B10,[2]Result!$B$1:$AO$16,15,FALSE)</f>
        <v>286276</v>
      </c>
      <c r="F10" s="3">
        <f t="shared" si="0"/>
        <v>44.081735366651564</v>
      </c>
    </row>
    <row r="11" spans="2:6" x14ac:dyDescent="0.25">
      <c r="B11" s="45" t="s">
        <v>48</v>
      </c>
      <c r="C11" s="46">
        <f>HLOOKUP(B11,[2]Result!$B$1:$AO$16,13,FALSE)</f>
        <v>299870.5</v>
      </c>
      <c r="D11" s="46">
        <f>HLOOKUP(B11,[2]Result!$B$1:$AO$16,14,FALSE)-HLOOKUP(B11,[2]Result!$B$1:$AO$16,13,FALSE)</f>
        <v>251531</v>
      </c>
      <c r="E11" s="46">
        <f>HLOOKUP(B11,[2]Result!$B$1:$AO$16,15,FALSE)</f>
        <v>263036</v>
      </c>
      <c r="F11" s="3">
        <f t="shared" si="0"/>
        <v>-12.283469030798299</v>
      </c>
    </row>
    <row r="12" spans="2:6" x14ac:dyDescent="0.25">
      <c r="B12" s="45" t="s">
        <v>69</v>
      </c>
      <c r="C12" s="46">
        <f>HLOOKUP(B12,[2]Result!$B$1:$AO$16,13,FALSE)</f>
        <v>216385</v>
      </c>
      <c r="D12" s="46">
        <f>HLOOKUP(B12,[2]Result!$B$1:$AO$16,14,FALSE)-HLOOKUP(B12,[2]Result!$B$1:$AO$16,13,FALSE)</f>
        <v>289172</v>
      </c>
      <c r="E12" s="46">
        <f>HLOOKUP(B12,[2]Result!$B$1:$AO$16,15,FALSE)</f>
        <v>236022</v>
      </c>
      <c r="F12" s="3">
        <f t="shared" si="0"/>
        <v>9.0750283060285994</v>
      </c>
    </row>
    <row r="13" spans="2:6" x14ac:dyDescent="0.25">
      <c r="B13" s="45" t="s">
        <v>51</v>
      </c>
      <c r="C13" s="46">
        <f>HLOOKUP(B13,[2]Result!$B$1:$AO$16,13,FALSE)</f>
        <v>126700</v>
      </c>
      <c r="D13" s="46">
        <f>HLOOKUP(B13,[2]Result!$B$1:$AO$16,14,FALSE)-HLOOKUP(B13,[2]Result!$B$1:$AO$16,13,FALSE)</f>
        <v>277375</v>
      </c>
      <c r="E13" s="46">
        <f>HLOOKUP(B13,[2]Result!$B$1:$AO$16,15,FALSE)</f>
        <v>231205</v>
      </c>
      <c r="F13" s="3">
        <f t="shared" si="0"/>
        <v>82.482241515390697</v>
      </c>
    </row>
    <row r="14" spans="2:6" x14ac:dyDescent="0.25">
      <c r="B14" s="45" t="s">
        <v>66</v>
      </c>
      <c r="C14" s="46">
        <f>HLOOKUP(B14,[2]Result!$B$1:$AO$16,13,FALSE)</f>
        <v>190735</v>
      </c>
      <c r="D14" s="46">
        <f>HLOOKUP(B14,[2]Result!$B$1:$AO$16,14,FALSE)-HLOOKUP(B14,[2]Result!$B$1:$AO$16,13,FALSE)</f>
        <v>207489</v>
      </c>
      <c r="E14" s="46">
        <f>HLOOKUP(B14,[2]Result!$B$1:$AO$16,15,FALSE)</f>
        <v>205047</v>
      </c>
      <c r="F14" s="3">
        <f t="shared" si="0"/>
        <v>7.5036044774163146</v>
      </c>
    </row>
    <row r="15" spans="2:6" x14ac:dyDescent="0.25">
      <c r="B15" s="45" t="s">
        <v>54</v>
      </c>
      <c r="C15" s="46">
        <f>HLOOKUP(B15,[2]Result!$B$1:$AO$16,13,FALSE)</f>
        <v>156110</v>
      </c>
      <c r="D15" s="46">
        <f>HLOOKUP(B15,[2]Result!$B$1:$AO$16,14,FALSE)-HLOOKUP(B15,[2]Result!$B$1:$AO$16,13,FALSE)</f>
        <v>152261</v>
      </c>
      <c r="E15" s="46">
        <f>HLOOKUP(B15,[2]Result!$B$1:$AO$16,15,FALSE)</f>
        <v>203000</v>
      </c>
      <c r="F15" s="3">
        <f t="shared" si="0"/>
        <v>30.036512715392981</v>
      </c>
    </row>
    <row r="16" spans="2:6" x14ac:dyDescent="0.25">
      <c r="B16" s="45" t="s">
        <v>82</v>
      </c>
      <c r="C16" s="46">
        <f>HLOOKUP(B16,[2]Result!$B$1:$AO$16,13,FALSE)</f>
        <v>181473</v>
      </c>
      <c r="D16" s="46">
        <f>HLOOKUP(B16,[2]Result!$B$1:$AO$16,14,FALSE)-HLOOKUP(B16,[2]Result!$B$1:$AO$16,13,FALSE)</f>
        <v>222536</v>
      </c>
      <c r="E16" s="46">
        <f>HLOOKUP(B16,[2]Result!$B$1:$AO$16,15,FALSE)</f>
        <v>193637</v>
      </c>
      <c r="F16" s="3">
        <f t="shared" si="0"/>
        <v>6.7029255040694791</v>
      </c>
    </row>
    <row r="17" spans="2:6" x14ac:dyDescent="0.25">
      <c r="B17" s="45" t="s">
        <v>52</v>
      </c>
      <c r="C17" s="46">
        <f>HLOOKUP(B17,[2]Result!$B$1:$AO$16,13,FALSE)</f>
        <v>48875</v>
      </c>
      <c r="D17" s="46">
        <f>HLOOKUP(B17,[2]Result!$B$1:$AO$16,14,FALSE)-HLOOKUP(B17,[2]Result!$B$1:$AO$16,13,FALSE)</f>
        <v>51240</v>
      </c>
      <c r="E17" s="46">
        <f>HLOOKUP(B17,[2]Result!$B$1:$AO$16,15,FALSE)</f>
        <v>180170</v>
      </c>
      <c r="F17" s="3">
        <f t="shared" si="0"/>
        <v>268.63427109974424</v>
      </c>
    </row>
    <row r="18" spans="2:6" x14ac:dyDescent="0.25">
      <c r="B18" s="45" t="s">
        <v>53</v>
      </c>
      <c r="C18" s="46">
        <f>HLOOKUP(B18,[2]Result!$B$1:$AO$16,13,FALSE)</f>
        <v>123317</v>
      </c>
      <c r="D18" s="46">
        <f>HLOOKUP(B18,[2]Result!$B$1:$AO$16,14,FALSE)-HLOOKUP(B18,[2]Result!$B$1:$AO$16,13,FALSE)</f>
        <v>160870</v>
      </c>
      <c r="E18" s="46">
        <f>HLOOKUP(B18,[2]Result!$B$1:$AO$16,15,FALSE)</f>
        <v>178907</v>
      </c>
      <c r="F18" s="3">
        <f t="shared" si="0"/>
        <v>45.078942887030983</v>
      </c>
    </row>
    <row r="19" spans="2:6" x14ac:dyDescent="0.25">
      <c r="B19" s="45" t="s">
        <v>78</v>
      </c>
      <c r="C19" s="46">
        <f>HLOOKUP(B19,[2]Result!$B$1:$AO$16,13,FALSE)</f>
        <v>94085</v>
      </c>
      <c r="D19" s="46">
        <f>HLOOKUP(B19,[2]Result!$B$1:$AO$16,14,FALSE)-HLOOKUP(B19,[2]Result!$B$1:$AO$16,13,FALSE)</f>
        <v>115851</v>
      </c>
      <c r="E19" s="46">
        <f>HLOOKUP(B19,[2]Result!$B$1:$AO$16,15,FALSE)</f>
        <v>154934</v>
      </c>
      <c r="F19" s="3">
        <f t="shared" si="0"/>
        <v>64.674496465961639</v>
      </c>
    </row>
    <row r="20" spans="2:6" x14ac:dyDescent="0.25">
      <c r="B20" s="45" t="s">
        <v>74</v>
      </c>
      <c r="C20" s="46">
        <f>HLOOKUP(B20,[2]Result!$B$1:$AO$16,13,FALSE)</f>
        <v>151570</v>
      </c>
      <c r="D20" s="46">
        <f>HLOOKUP(B20,[2]Result!$B$1:$AO$16,14,FALSE)-HLOOKUP(B20,[2]Result!$B$1:$AO$16,13,FALSE)</f>
        <v>154288</v>
      </c>
      <c r="E20" s="46">
        <f>HLOOKUP(B20,[2]Result!$B$1:$AO$16,15,FALSE)</f>
        <v>143178</v>
      </c>
      <c r="F20" s="3">
        <f t="shared" si="0"/>
        <v>-5.5367157089133752</v>
      </c>
    </row>
    <row r="21" spans="2:6" x14ac:dyDescent="0.25">
      <c r="B21" s="45" t="s">
        <v>79</v>
      </c>
      <c r="C21" s="46">
        <f>HLOOKUP(B21,[2]Result!$B$1:$AO$16,13,FALSE)</f>
        <v>53970</v>
      </c>
      <c r="D21" s="46">
        <f>HLOOKUP(B21,[2]Result!$B$1:$AO$16,14,FALSE)-HLOOKUP(B21,[2]Result!$B$1:$AO$16,13,FALSE)</f>
        <v>139460</v>
      </c>
      <c r="E21" s="46">
        <f>HLOOKUP(B21,[2]Result!$B$1:$AO$16,15,FALSE)</f>
        <v>141560</v>
      </c>
      <c r="F21" s="3">
        <f t="shared" si="0"/>
        <v>162.29386696312767</v>
      </c>
    </row>
    <row r="22" spans="2:6" x14ac:dyDescent="0.25">
      <c r="B22" s="45" t="s">
        <v>56</v>
      </c>
      <c r="C22" s="46">
        <f>HLOOKUP(B22,[2]Result!$B$1:$AO$16,13,FALSE)</f>
        <v>130555</v>
      </c>
      <c r="D22" s="46">
        <f>HLOOKUP(B22,[2]Result!$B$1:$AO$16,14,FALSE)-HLOOKUP(B22,[2]Result!$B$1:$AO$16,13,FALSE)</f>
        <v>171462</v>
      </c>
      <c r="E22" s="46">
        <f>HLOOKUP(B22,[2]Result!$B$1:$AO$16,15,FALSE)</f>
        <v>138335</v>
      </c>
      <c r="F22" s="3">
        <f t="shared" si="0"/>
        <v>5.9591742943587045</v>
      </c>
    </row>
    <row r="23" spans="2:6" x14ac:dyDescent="0.25">
      <c r="B23" s="45" t="s">
        <v>60</v>
      </c>
      <c r="C23" s="46">
        <f>HLOOKUP(B23,[2]Result!$B$1:$AO$16,13,FALSE)</f>
        <v>152882</v>
      </c>
      <c r="D23" s="46">
        <f>HLOOKUP(B23,[2]Result!$B$1:$AO$16,14,FALSE)-HLOOKUP(B23,[2]Result!$B$1:$AO$16,13,FALSE)</f>
        <v>149105</v>
      </c>
      <c r="E23" s="46">
        <f>HLOOKUP(B23,[2]Result!$B$1:$AO$16,15,FALSE)</f>
        <v>137181</v>
      </c>
      <c r="F23" s="3">
        <f t="shared" si="0"/>
        <v>-10.270012166245868</v>
      </c>
    </row>
    <row r="24" spans="2:6" x14ac:dyDescent="0.25">
      <c r="B24" s="45" t="s">
        <v>63</v>
      </c>
      <c r="C24" s="46">
        <f>HLOOKUP(B24,[2]Result!$B$1:$AO$16,13,FALSE)</f>
        <v>90579</v>
      </c>
      <c r="D24" s="46">
        <f>HLOOKUP(B24,[2]Result!$B$1:$AO$16,14,FALSE)-HLOOKUP(B24,[2]Result!$B$1:$AO$16,13,FALSE)</f>
        <v>100682</v>
      </c>
      <c r="E24" s="46">
        <f>HLOOKUP(B24,[2]Result!$B$1:$AO$16,15,FALSE)</f>
        <v>132768</v>
      </c>
      <c r="F24" s="3">
        <f t="shared" si="0"/>
        <v>46.57702116384592</v>
      </c>
    </row>
    <row r="25" spans="2:6" x14ac:dyDescent="0.25">
      <c r="B25" s="45" t="s">
        <v>72</v>
      </c>
      <c r="C25" s="46">
        <f>HLOOKUP(B25,[2]Result!$B$1:$AO$16,13,FALSE)</f>
        <v>88030</v>
      </c>
      <c r="D25" s="46">
        <f>HLOOKUP(B25,[2]Result!$B$1:$AO$16,14,FALSE)-HLOOKUP(B25,[2]Result!$B$1:$AO$16,13,FALSE)</f>
        <v>83246</v>
      </c>
      <c r="E25" s="46">
        <f>HLOOKUP(B25,[2]Result!$B$1:$AO$16,15,FALSE)</f>
        <v>124829</v>
      </c>
      <c r="F25" s="3">
        <f t="shared" si="0"/>
        <v>41.802794501874359</v>
      </c>
    </row>
    <row r="26" spans="2:6" x14ac:dyDescent="0.25">
      <c r="B26" s="45" t="s">
        <v>86</v>
      </c>
      <c r="C26" s="46">
        <f>HLOOKUP(B26,[2]Result!$B$1:$AQ$16,13,FALSE)</f>
        <v>42721</v>
      </c>
      <c r="D26" s="46">
        <f>HLOOKUP(B26,[2]Result!$B$1:$AQ$16,14,FALSE)-HLOOKUP(B26,[2]Result!$B$1:$AQ$16,13,FALSE)</f>
        <v>71106</v>
      </c>
      <c r="E26" s="46">
        <f>HLOOKUP(B26,[2]Result!$B$1:$AQ$16,15,FALSE)</f>
        <v>104499</v>
      </c>
      <c r="F26" s="3">
        <f t="shared" si="0"/>
        <v>144.60803820135294</v>
      </c>
    </row>
    <row r="27" spans="2:6" x14ac:dyDescent="0.25">
      <c r="B27" s="45" t="s">
        <v>70</v>
      </c>
      <c r="C27" s="46">
        <f>HLOOKUP(B27,[2]Result!$B$1:$AO$16,13,FALSE)</f>
        <v>61920</v>
      </c>
      <c r="D27" s="46">
        <f>HLOOKUP(B27,[2]Result!$B$1:$AO$16,14,FALSE)-HLOOKUP(B27,[2]Result!$B$1:$AO$16,13,FALSE)</f>
        <v>98005</v>
      </c>
      <c r="E27" s="46">
        <f>HLOOKUP(B27,[2]Result!$B$1:$AO$16,15,FALSE)</f>
        <v>101928</v>
      </c>
      <c r="F27" s="3">
        <f t="shared" si="0"/>
        <v>64.612403100775182</v>
      </c>
    </row>
    <row r="28" spans="2:6" x14ac:dyDescent="0.25">
      <c r="B28" s="45" t="s">
        <v>49</v>
      </c>
      <c r="C28" s="46">
        <f>HLOOKUP(B28,[2]Result!$B$1:$AO$16,13,FALSE)</f>
        <v>100384</v>
      </c>
      <c r="D28" s="46">
        <f>HLOOKUP(B28,[2]Result!$B$1:$AO$16,14,FALSE)-HLOOKUP(B28,[2]Result!$B$1:$AO$16,13,FALSE)</f>
        <v>95950</v>
      </c>
      <c r="E28" s="46">
        <f>HLOOKUP(B28,[2]Result!$B$1:$AO$16,15,FALSE)</f>
        <v>99362</v>
      </c>
      <c r="F28" s="3">
        <f t="shared" si="0"/>
        <v>-1.0180905323557532</v>
      </c>
    </row>
    <row r="29" spans="2:6" x14ac:dyDescent="0.25">
      <c r="B29" s="45" t="s">
        <v>65</v>
      </c>
      <c r="C29" s="46">
        <f>HLOOKUP(B29,[2]Result!$B$1:$AO$16,13,FALSE)</f>
        <v>39442</v>
      </c>
      <c r="D29" s="46">
        <f>HLOOKUP(B29,[2]Result!$B$1:$AO$16,14,FALSE)-HLOOKUP(B29,[2]Result!$B$1:$AO$16,13,FALSE)</f>
        <v>104787</v>
      </c>
      <c r="E29" s="46">
        <f>HLOOKUP(B29,[2]Result!$B$1:$AO$16,15,FALSE)</f>
        <v>80877</v>
      </c>
      <c r="F29" s="3">
        <f t="shared" si="0"/>
        <v>105.05298919933068</v>
      </c>
    </row>
    <row r="30" spans="2:6" x14ac:dyDescent="0.25">
      <c r="B30" s="45" t="s">
        <v>62</v>
      </c>
      <c r="C30" s="46">
        <f>HLOOKUP(B30,[2]Result!$B$1:$AO$16,13,FALSE)</f>
        <v>61295</v>
      </c>
      <c r="D30" s="46">
        <f>HLOOKUP(B30,[2]Result!$B$1:$AO$16,14,FALSE)-HLOOKUP(B30,[2]Result!$B$1:$AO$16,13,FALSE)</f>
        <v>73660.600000000006</v>
      </c>
      <c r="E30" s="46">
        <f>HLOOKUP(B30,[2]Result!$B$1:$AO$16,15,FALSE)</f>
        <v>69012</v>
      </c>
      <c r="F30" s="3">
        <f t="shared" si="0"/>
        <v>12.58993392609511</v>
      </c>
    </row>
    <row r="31" spans="2:6" x14ac:dyDescent="0.25">
      <c r="B31" s="45" t="s">
        <v>50</v>
      </c>
      <c r="C31" s="46">
        <f>HLOOKUP(B31,[2]Result!$B$1:$AO$16,13,FALSE)</f>
        <v>61877</v>
      </c>
      <c r="D31" s="46">
        <f>HLOOKUP(B31,[2]Result!$B$1:$AO$16,14,FALSE)-HLOOKUP(B31,[2]Result!$B$1:$AO$16,13,FALSE)</f>
        <v>96546.31</v>
      </c>
      <c r="E31" s="46">
        <f>HLOOKUP(B31,[2]Result!$B$1:$AO$16,15,FALSE)</f>
        <v>68095.5</v>
      </c>
      <c r="F31" s="3">
        <f t="shared" si="0"/>
        <v>10.0497761688511</v>
      </c>
    </row>
    <row r="32" spans="2:6" x14ac:dyDescent="0.25">
      <c r="B32" s="45" t="s">
        <v>57</v>
      </c>
      <c r="C32" s="46">
        <f>HLOOKUP(B32,[2]Result!$B$1:$AO$16,13,FALSE)</f>
        <v>24440</v>
      </c>
      <c r="D32" s="46">
        <f>HLOOKUP(B32,[2]Result!$B$1:$AO$16,14,FALSE)-HLOOKUP(B32,[2]Result!$B$1:$AO$16,13,FALSE)</f>
        <v>44080</v>
      </c>
      <c r="E32" s="46">
        <f>HLOOKUP(B32,[2]Result!$B$1:$AO$16,15,FALSE)</f>
        <v>62090</v>
      </c>
      <c r="F32" s="3">
        <f t="shared" si="0"/>
        <v>154.05073649754502</v>
      </c>
    </row>
    <row r="33" spans="2:6" x14ac:dyDescent="0.25">
      <c r="B33" s="45" t="s">
        <v>58</v>
      </c>
      <c r="C33" s="46">
        <f>HLOOKUP(B33,[2]Result!$B$1:$AO$16,13,FALSE)</f>
        <v>46465</v>
      </c>
      <c r="D33" s="46">
        <f>HLOOKUP(B33,[2]Result!$B$1:$AO$16,14,FALSE)-HLOOKUP(B33,[2]Result!$B$1:$AO$16,13,FALSE)</f>
        <v>76188.399999999994</v>
      </c>
      <c r="E33" s="46">
        <f>HLOOKUP(B33,[2]Result!$B$1:$AO$16,15,FALSE)</f>
        <v>59615</v>
      </c>
      <c r="F33" s="3">
        <f t="shared" si="0"/>
        <v>28.300871623802859</v>
      </c>
    </row>
    <row r="34" spans="2:6" x14ac:dyDescent="0.25">
      <c r="B34" s="45" t="s">
        <v>68</v>
      </c>
      <c r="C34" s="46">
        <f>HLOOKUP(B34,[2]Result!$B$1:$AO$16,13,FALSE)</f>
        <v>32194</v>
      </c>
      <c r="D34" s="46">
        <f>HLOOKUP(B34,[2]Result!$B$1:$AO$16,14,FALSE)-HLOOKUP(B34,[2]Result!$B$1:$AO$16,13,FALSE)</f>
        <v>62633.539999999994</v>
      </c>
      <c r="E34" s="46">
        <f>HLOOKUP(B34,[2]Result!$B$1:$AO$16,15,FALSE)</f>
        <v>51578</v>
      </c>
      <c r="F34" s="3">
        <f t="shared" si="0"/>
        <v>60.209977014350493</v>
      </c>
    </row>
    <row r="35" spans="2:6" x14ac:dyDescent="0.25">
      <c r="B35" s="45" t="s">
        <v>76</v>
      </c>
      <c r="C35" s="46">
        <f>HLOOKUP(B35,[2]Result!$B$1:$AO$16,13,FALSE)</f>
        <v>49394</v>
      </c>
      <c r="D35" s="46">
        <f>HLOOKUP(B35,[2]Result!$B$1:$AO$16,14,FALSE)-HLOOKUP(B35,[2]Result!$B$1:$AO$16,13,FALSE)</f>
        <v>48018</v>
      </c>
      <c r="E35" s="46">
        <f>HLOOKUP(B35,[2]Result!$B$1:$AO$16,15,FALSE)</f>
        <v>41800</v>
      </c>
      <c r="F35" s="3">
        <f t="shared" ref="F35:F51" si="1">(E35/C35-1)*100</f>
        <v>-15.374336964003721</v>
      </c>
    </row>
    <row r="36" spans="2:6" x14ac:dyDescent="0.25">
      <c r="B36" s="45" t="s">
        <v>61</v>
      </c>
      <c r="C36" s="46">
        <f>HLOOKUP(B36,[2]Result!$B$1:$AO$16,13,FALSE)</f>
        <v>48991.9</v>
      </c>
      <c r="D36" s="46">
        <f>HLOOKUP(B36,[2]Result!$B$1:$AO$16,14,FALSE)-HLOOKUP(B36,[2]Result!$B$1:$AO$16,13,FALSE)</f>
        <v>40169.999999999993</v>
      </c>
      <c r="E36" s="46">
        <f>HLOOKUP(B36,[2]Result!$B$1:$AO$16,15,FALSE)</f>
        <v>30200</v>
      </c>
      <c r="F36" s="3">
        <f t="shared" si="1"/>
        <v>-38.357156999422358</v>
      </c>
    </row>
    <row r="37" spans="2:6" x14ac:dyDescent="0.25">
      <c r="B37" s="45" t="s">
        <v>64</v>
      </c>
      <c r="C37" s="46">
        <f>HLOOKUP(B37,[2]Result!$B$1:$AO$16,13,FALSE)</f>
        <v>18326.32</v>
      </c>
      <c r="D37" s="46">
        <f>HLOOKUP(B37,[2]Result!$B$1:$AO$16,14,FALSE)-HLOOKUP(B37,[2]Result!$B$1:$AO$16,13,FALSE)</f>
        <v>31013.4</v>
      </c>
      <c r="E37" s="46">
        <f>HLOOKUP(B37,[2]Result!$B$1:$AO$16,15,FALSE)</f>
        <v>29527.86</v>
      </c>
      <c r="F37" s="3">
        <f t="shared" si="1"/>
        <v>61.122691298634969</v>
      </c>
    </row>
    <row r="38" spans="2:6" x14ac:dyDescent="0.25">
      <c r="B38" s="45" t="s">
        <v>55</v>
      </c>
      <c r="C38" s="46">
        <f>HLOOKUP(B38,[2]Result!$B$1:$AO$16,13,FALSE)</f>
        <v>19200</v>
      </c>
      <c r="D38" s="46">
        <f>HLOOKUP(B38,[2]Result!$B$1:$AO$16,14,FALSE)-HLOOKUP(B38,[2]Result!$B$1:$AO$16,13,FALSE)</f>
        <v>26700</v>
      </c>
      <c r="E38" s="46">
        <f>HLOOKUP(B38,[2]Result!$B$1:$AO$16,15,FALSE)</f>
        <v>23965</v>
      </c>
      <c r="F38" s="3">
        <f t="shared" si="1"/>
        <v>24.817708333333343</v>
      </c>
    </row>
    <row r="39" spans="2:6" x14ac:dyDescent="0.25">
      <c r="B39" s="45" t="s">
        <v>81</v>
      </c>
      <c r="C39" s="46">
        <f>HLOOKUP(B39,[2]Result!$B$1:$AO$16,13,FALSE)</f>
        <v>23275</v>
      </c>
      <c r="D39" s="46">
        <f>HLOOKUP(B39,[2]Result!$B$1:$AO$16,14,FALSE)-HLOOKUP(B39,[2]Result!$B$1:$AO$16,13,FALSE)</f>
        <v>24260</v>
      </c>
      <c r="E39" s="46">
        <f>HLOOKUP(B39,[2]Result!$B$1:$AO$16,15,FALSE)</f>
        <v>19840</v>
      </c>
      <c r="F39" s="3">
        <f t="shared" si="1"/>
        <v>-14.758324382384536</v>
      </c>
    </row>
    <row r="40" spans="2:6" x14ac:dyDescent="0.25">
      <c r="B40" s="45" t="s">
        <v>77</v>
      </c>
      <c r="C40" s="46">
        <f>HLOOKUP(B40,[2]Result!$B$1:$AO$16,13,FALSE)</f>
        <v>14520</v>
      </c>
      <c r="D40" s="46">
        <f>HLOOKUP(B40,[2]Result!$B$1:$AO$16,14,FALSE)-HLOOKUP(B40,[2]Result!$B$1:$AO$16,13,FALSE)</f>
        <v>25125</v>
      </c>
      <c r="E40" s="46">
        <f>HLOOKUP(B40,[2]Result!$B$1:$AO$16,15,FALSE)</f>
        <v>19170</v>
      </c>
      <c r="F40" s="3">
        <f t="shared" si="1"/>
        <v>32.024793388429764</v>
      </c>
    </row>
    <row r="41" spans="2:6" x14ac:dyDescent="0.25">
      <c r="B41" s="45" t="s">
        <v>85</v>
      </c>
      <c r="C41" s="46">
        <f>HLOOKUP(B41,[2]Result!$B$1:$AQ$16,13,FALSE)</f>
        <v>68200</v>
      </c>
      <c r="D41" s="46">
        <f>HLOOKUP(B41,[2]Result!$B$1:$AQ$16,14,FALSE)-HLOOKUP(B41,[2]Result!$B$1:$AQ$16,13,FALSE)</f>
        <v>47750</v>
      </c>
      <c r="E41" s="46">
        <f>HLOOKUP(B41,[2]Result!$B$1:$AQ$16,15,FALSE)</f>
        <v>18110</v>
      </c>
      <c r="F41" s="3">
        <f t="shared" si="1"/>
        <v>-73.445747800586503</v>
      </c>
    </row>
    <row r="42" spans="2:6" x14ac:dyDescent="0.25">
      <c r="B42" s="45" t="s">
        <v>25</v>
      </c>
      <c r="C42" s="45" t="e">
        <f>HLOOKUP(B42,#REF!,60,FALSE)/1000</f>
        <v>#REF!</v>
      </c>
      <c r="D42" s="45" t="e">
        <f>HLOOKUP(B42,#REF!,61,FALSE)/1000-HLOOKUP(B42,#REF!,60,FALSE)/1000</f>
        <v>#REF!</v>
      </c>
      <c r="E42" s="45" t="e">
        <f>HLOOKUP(B42,#REF!,62,FALSE)/1000</f>
        <v>#REF!</v>
      </c>
      <c r="F42" s="3" t="e">
        <f t="shared" si="1"/>
        <v>#REF!</v>
      </c>
    </row>
    <row r="43" spans="2:6" x14ac:dyDescent="0.25">
      <c r="B43" s="45" t="s">
        <v>47</v>
      </c>
      <c r="C43" s="45" t="e">
        <f>HLOOKUP(B43,#REF!,60,FALSE)/1000</f>
        <v>#REF!</v>
      </c>
      <c r="D43" s="45" t="e">
        <f>HLOOKUP(B43,#REF!,61,FALSE)/1000-HLOOKUP(B43,#REF!,60,FALSE)/1000</f>
        <v>#REF!</v>
      </c>
      <c r="E43" s="45" t="e">
        <f>HLOOKUP(B43,#REF!,62,FALSE)/1000</f>
        <v>#REF!</v>
      </c>
      <c r="F43" s="3" t="e">
        <f t="shared" si="1"/>
        <v>#REF!</v>
      </c>
    </row>
    <row r="44" spans="2:6" x14ac:dyDescent="0.25">
      <c r="B44" s="45" t="s">
        <v>35</v>
      </c>
      <c r="C44" s="45" t="e">
        <f>HLOOKUP(B44,#REF!,60,FALSE)/1000</f>
        <v>#REF!</v>
      </c>
      <c r="D44" s="45" t="e">
        <f>HLOOKUP(B44,#REF!,61,FALSE)/1000-HLOOKUP(B44,#REF!,60,FALSE)/1000</f>
        <v>#REF!</v>
      </c>
      <c r="E44" s="45" t="e">
        <f>HLOOKUP(B44,#REF!,62,FALSE)/1000</f>
        <v>#REF!</v>
      </c>
      <c r="F44" s="3" t="e">
        <f t="shared" si="1"/>
        <v>#REF!</v>
      </c>
    </row>
    <row r="45" spans="2:6" x14ac:dyDescent="0.25">
      <c r="B45" s="45" t="s">
        <v>17</v>
      </c>
      <c r="C45" s="45" t="e">
        <f>HLOOKUP(B45,#REF!,60,FALSE)/1000</f>
        <v>#REF!</v>
      </c>
      <c r="D45" s="45" t="e">
        <f>HLOOKUP(B45,#REF!,61,FALSE)/1000-HLOOKUP(B45,#REF!,60,FALSE)/1000</f>
        <v>#REF!</v>
      </c>
      <c r="E45" s="45" t="e">
        <f>HLOOKUP(B45,#REF!,62,FALSE)/1000</f>
        <v>#REF!</v>
      </c>
      <c r="F45" s="3" t="e">
        <f t="shared" si="1"/>
        <v>#REF!</v>
      </c>
    </row>
    <row r="46" spans="2:6" x14ac:dyDescent="0.25">
      <c r="B46" s="45" t="s">
        <v>24</v>
      </c>
      <c r="C46" s="45" t="e">
        <f>HLOOKUP(B46,#REF!,60,FALSE)/1000</f>
        <v>#REF!</v>
      </c>
      <c r="D46" s="45" t="e">
        <f>HLOOKUP(B46,#REF!,61,FALSE)/1000-HLOOKUP(B46,#REF!,60,FALSE)/1000</f>
        <v>#REF!</v>
      </c>
      <c r="E46" s="45" t="e">
        <f>HLOOKUP(B46,#REF!,62,FALSE)/1000</f>
        <v>#REF!</v>
      </c>
      <c r="F46" s="3" t="e">
        <f t="shared" si="1"/>
        <v>#REF!</v>
      </c>
    </row>
    <row r="47" spans="2:6" x14ac:dyDescent="0.25">
      <c r="B47" s="45" t="s">
        <v>39</v>
      </c>
      <c r="C47" s="45" t="e">
        <f>HLOOKUP(B47,#REF!,60,FALSE)/1000</f>
        <v>#REF!</v>
      </c>
      <c r="D47" s="45" t="e">
        <f>HLOOKUP(B47,#REF!,61,FALSE)/1000-HLOOKUP(B47,#REF!,60,FALSE)/1000</f>
        <v>#REF!</v>
      </c>
      <c r="E47" s="45" t="e">
        <f>HLOOKUP(B47,#REF!,62,FALSE)/1000</f>
        <v>#REF!</v>
      </c>
      <c r="F47" s="3" t="e">
        <f t="shared" si="1"/>
        <v>#REF!</v>
      </c>
    </row>
    <row r="48" spans="2:6" x14ac:dyDescent="0.25">
      <c r="B48" s="45" t="s">
        <v>45</v>
      </c>
      <c r="C48" s="45" t="e">
        <f>HLOOKUP(B48,#REF!,60,FALSE)/1000</f>
        <v>#REF!</v>
      </c>
      <c r="D48" s="45" t="e">
        <f>HLOOKUP(B48,#REF!,61,FALSE)/1000-HLOOKUP(B48,#REF!,60,FALSE)/1000</f>
        <v>#REF!</v>
      </c>
      <c r="E48" s="45" t="e">
        <f>HLOOKUP(B48,#REF!,62,FALSE)/1000</f>
        <v>#REF!</v>
      </c>
      <c r="F48" s="3" t="e">
        <f t="shared" si="1"/>
        <v>#REF!</v>
      </c>
    </row>
    <row r="49" spans="2:6" x14ac:dyDescent="0.25">
      <c r="B49" s="45" t="s">
        <v>44</v>
      </c>
      <c r="C49" s="45" t="e">
        <f>HLOOKUP(B49,#REF!,60,FALSE)/1000</f>
        <v>#REF!</v>
      </c>
      <c r="D49" s="45" t="e">
        <f>HLOOKUP(B49,#REF!,61,FALSE)/1000-HLOOKUP(B49,#REF!,60,FALSE)/1000</f>
        <v>#REF!</v>
      </c>
      <c r="E49" s="45" t="e">
        <f>HLOOKUP(B49,#REF!,62,FALSE)/1000</f>
        <v>#REF!</v>
      </c>
      <c r="F49" s="3" t="e">
        <f t="shared" si="1"/>
        <v>#REF!</v>
      </c>
    </row>
    <row r="50" spans="2:6" x14ac:dyDescent="0.25">
      <c r="B50" s="45" t="s">
        <v>14</v>
      </c>
      <c r="C50" s="45" t="e">
        <f>HLOOKUP(B50,#REF!,60,FALSE)/1000</f>
        <v>#REF!</v>
      </c>
      <c r="D50" s="45" t="e">
        <f>HLOOKUP(B50,#REF!,61,FALSE)/1000-HLOOKUP(B50,#REF!,60,FALSE)/1000</f>
        <v>#REF!</v>
      </c>
      <c r="E50" s="45" t="e">
        <f>HLOOKUP(B50,#REF!,62,FALSE)/1000</f>
        <v>#REF!</v>
      </c>
      <c r="F50" s="3" t="e">
        <f t="shared" si="1"/>
        <v>#REF!</v>
      </c>
    </row>
    <row r="51" spans="2:6" x14ac:dyDescent="0.25">
      <c r="B51" s="45" t="s">
        <v>37</v>
      </c>
      <c r="C51" s="45" t="e">
        <f>HLOOKUP(B51,#REF!,60,FALSE)/1000</f>
        <v>#REF!</v>
      </c>
      <c r="D51" s="45" t="e">
        <f>HLOOKUP(B51,#REF!,61,FALSE)/1000-HLOOKUP(B51,#REF!,60,FALSE)/1000</f>
        <v>#REF!</v>
      </c>
      <c r="E51" s="45" t="e">
        <f>HLOOKUP(B51,#REF!,62,FALSE)/1000</f>
        <v>#REF!</v>
      </c>
      <c r="F51" s="3" t="e">
        <f t="shared" si="1"/>
        <v>#REF!</v>
      </c>
    </row>
    <row r="52" spans="2:6" x14ac:dyDescent="0.25">
      <c r="B52" s="45" t="s">
        <v>31</v>
      </c>
      <c r="C52" s="45" t="e">
        <f>HLOOKUP(B52,#REF!,60,FALSE)/1000</f>
        <v>#REF!</v>
      </c>
      <c r="D52" s="45" t="e">
        <f>HLOOKUP(B52,#REF!,61,FALSE)/1000-HLOOKUP(B52,#REF!,60,FALSE)/1000</f>
        <v>#REF!</v>
      </c>
      <c r="E52" s="45" t="e">
        <f>HLOOKUP(B52,#REF!,62,FALSE)/1000</f>
        <v>#REF!</v>
      </c>
      <c r="F52" s="3" t="s">
        <v>20</v>
      </c>
    </row>
    <row r="53" spans="2:6" x14ac:dyDescent="0.25">
      <c r="B53" s="45" t="s">
        <v>116</v>
      </c>
      <c r="C53" s="46">
        <f>HLOOKUP(B53,[2]Result!$B$1:$AO$16,13,FALSE)</f>
        <v>285945</v>
      </c>
      <c r="D53" s="46">
        <f>HLOOKUP(B53,[2]Result!$B$1:$AO$16,14,FALSE)-HLOOKUP(B53,[2]Result!$B$1:$AO$16,13,FALSE)</f>
        <v>194485</v>
      </c>
      <c r="E53" s="46">
        <f>HLOOKUP(B53,[2]Result!$B$1:$AO$16,15,FALSE)</f>
        <v>265240</v>
      </c>
      <c r="F53" s="3">
        <f t="shared" ref="F53:F55" si="2">(E53/C53-1)*100</f>
        <v>-7.2409029708510371</v>
      </c>
    </row>
    <row r="54" spans="2:6" x14ac:dyDescent="0.25">
      <c r="B54" s="42" t="s">
        <v>226</v>
      </c>
      <c r="C54" s="46">
        <f>HLOOKUP(B54,[2]Result!$B$1:$AO$16,13,FALSE)</f>
        <v>127441</v>
      </c>
      <c r="D54" s="46">
        <f>HLOOKUP(B54,[2]Result!$B$1:$AO$16,14,FALSE)-HLOOKUP(B54,[2]Result!$B$1:$AO$16,13,FALSE)</f>
        <v>127418</v>
      </c>
      <c r="E54" s="46">
        <f>HLOOKUP(B54,[2]Result!$B$1:$AO$16,15,FALSE)</f>
        <v>143416</v>
      </c>
      <c r="F54" s="3">
        <f t="shared" ref="F54" si="3">(E54/C54-1)*100</f>
        <v>12.535212372784276</v>
      </c>
    </row>
    <row r="55" spans="2:6" x14ac:dyDescent="0.25">
      <c r="B55" s="45" t="s">
        <v>46</v>
      </c>
      <c r="C55" s="46" t="e">
        <f>HLOOKUP(B55,#REF!,60,FALSE)/1000</f>
        <v>#REF!</v>
      </c>
      <c r="D55" s="46" t="e">
        <f>HLOOKUP(B55,#REF!,61,FALSE)/1000-HLOOKUP(B55,#REF!,60,FALSE)/1000</f>
        <v>#REF!</v>
      </c>
      <c r="E55" s="46" t="e">
        <f>HLOOKUP(B55,#REF!,62,FALSE)/1000</f>
        <v>#REF!</v>
      </c>
      <c r="F55" s="3" t="e">
        <f t="shared" si="2"/>
        <v>#REF!</v>
      </c>
    </row>
    <row r="56" spans="2:6" x14ac:dyDescent="0.25">
      <c r="B56" s="5" t="s">
        <v>228</v>
      </c>
      <c r="C56" s="46" t="e">
        <f>HLOOKUP(B56,#REF!,60,FALSE)/1000</f>
        <v>#REF!</v>
      </c>
      <c r="D56" s="46" t="e">
        <f>HLOOKUP(B56,#REF!,61,FALSE)/1000-HLOOKUP(B56,#REF!,60,FALSE)/1000</f>
        <v>#REF!</v>
      </c>
      <c r="E56" s="46" t="e">
        <f>HLOOKUP(B56,#REF!,62,FALSE)/1000</f>
        <v>#REF!</v>
      </c>
      <c r="F56" s="3" t="e">
        <f t="shared" ref="F56" si="4">(E56/C56-1)*100</f>
        <v>#REF!</v>
      </c>
    </row>
    <row r="57" spans="2:6" x14ac:dyDescent="0.25">
      <c r="C57" s="46" t="e">
        <f t="shared" ref="C57:D57" si="5">SUM(C3:C53)</f>
        <v>#REF!</v>
      </c>
      <c r="D57" s="46" t="e">
        <f t="shared" si="5"/>
        <v>#REF!</v>
      </c>
      <c r="E57" s="46" t="e">
        <f>SUM(E3:E53)</f>
        <v>#REF!</v>
      </c>
    </row>
    <row r="60" spans="2:6" x14ac:dyDescent="0.25">
      <c r="B60" s="3" t="s">
        <v>144</v>
      </c>
      <c r="C60" s="45" t="e">
        <f>C57/1000/ТБ2!C75</f>
        <v>#REF!</v>
      </c>
      <c r="D60" s="45" t="e">
        <f>D57/1000/ТБ2!F75</f>
        <v>#REF!</v>
      </c>
      <c r="E60" s="45" t="e">
        <f>E57/1000/ТБ2!I75</f>
        <v>#REF!</v>
      </c>
    </row>
  </sheetData>
  <sortState xmlns:xlrd2="http://schemas.microsoft.com/office/spreadsheetml/2017/richdata2" ref="B3:F60">
    <sortCondition descending="1" ref="E2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BF576-C8C6-4D56-942A-5319CBDEB556}">
  <sheetPr codeName="Лист12"/>
  <dimension ref="A1:H5"/>
  <sheetViews>
    <sheetView topLeftCell="A4" workbookViewId="0"/>
  </sheetViews>
  <sheetFormatPr defaultColWidth="9.140625" defaultRowHeight="15" x14ac:dyDescent="0.25"/>
  <cols>
    <col min="1" max="1" width="9.140625" style="45"/>
    <col min="2" max="2" width="24.85546875" style="36" customWidth="1"/>
    <col min="3" max="3" width="10.85546875" style="45" bestFit="1" customWidth="1"/>
    <col min="4" max="4" width="9.140625" style="45"/>
    <col min="5" max="5" width="10.85546875" style="33" bestFit="1" customWidth="1"/>
    <col min="6" max="6" width="9.140625" style="45"/>
    <col min="7" max="7" width="13.7109375" style="3" customWidth="1"/>
    <col min="8" max="8" width="18.140625" style="45" customWidth="1"/>
    <col min="9" max="16384" width="9.140625" style="45"/>
  </cols>
  <sheetData>
    <row r="1" spans="1:8" x14ac:dyDescent="0.25">
      <c r="A1" s="33"/>
      <c r="B1" s="35"/>
      <c r="C1" s="195">
        <v>43282</v>
      </c>
      <c r="D1" s="195"/>
      <c r="E1" s="195">
        <v>43647</v>
      </c>
      <c r="F1" s="195"/>
    </row>
    <row r="2" spans="1:8" x14ac:dyDescent="0.25">
      <c r="C2" s="45" t="s">
        <v>21</v>
      </c>
      <c r="D2" s="45" t="s">
        <v>109</v>
      </c>
      <c r="E2" s="45" t="s">
        <v>21</v>
      </c>
      <c r="F2" s="45" t="s">
        <v>109</v>
      </c>
      <c r="G2" s="3" t="s">
        <v>26</v>
      </c>
      <c r="H2" s="45" t="s">
        <v>6</v>
      </c>
    </row>
    <row r="3" spans="1:8" x14ac:dyDescent="0.25">
      <c r="B3" s="37" t="s">
        <v>15</v>
      </c>
      <c r="C3" s="45" t="e">
        <f>HLOOKUP(B3,#REF!,31,FALSE)/1000</f>
        <v>#REF!</v>
      </c>
      <c r="D3" s="45" t="e">
        <f>HLOOKUP(B3,#REF!,35,FALSE)/1000</f>
        <v>#REF!</v>
      </c>
      <c r="E3" s="33" t="e">
        <f>HLOOKUP(B3,#REF!,33,FALSE)/1000</f>
        <v>#REF!</v>
      </c>
      <c r="F3" s="45" t="s">
        <v>5</v>
      </c>
      <c r="G3" s="3" t="e">
        <f t="shared" ref="G3" si="0">(E3/C3-1)*100</f>
        <v>#REF!</v>
      </c>
      <c r="H3" s="45" t="s">
        <v>5</v>
      </c>
    </row>
    <row r="4" spans="1:8" x14ac:dyDescent="0.25">
      <c r="B4" s="37" t="s">
        <v>46</v>
      </c>
      <c r="C4" s="45" t="e">
        <f>HLOOKUP(B4,#REF!,31,FALSE)/1000</f>
        <v>#REF!</v>
      </c>
      <c r="D4" s="45" t="e">
        <f>HLOOKUP(B4,#REF!,35,FALSE)/1000</f>
        <v>#REF!</v>
      </c>
      <c r="E4" s="33" t="e">
        <f>HLOOKUP(B4,#REF!,33,FALSE)/1000</f>
        <v>#REF!</v>
      </c>
      <c r="F4" s="45" t="e">
        <f>HLOOKUP(B4,#REF!,37,FALSE)/1000</f>
        <v>#REF!</v>
      </c>
      <c r="G4" s="3" t="e">
        <f t="shared" ref="G4" si="1">(E4/C4-1)*100</f>
        <v>#REF!</v>
      </c>
      <c r="H4" s="3" t="e">
        <f t="shared" ref="H4" si="2">(F4/D4-1)*100</f>
        <v>#REF!</v>
      </c>
    </row>
    <row r="5" spans="1:8" x14ac:dyDescent="0.25">
      <c r="B5" s="37" t="s">
        <v>36</v>
      </c>
      <c r="C5" s="45" t="e">
        <f>HLOOKUP(B5,#REF!,31,FALSE)/1000</f>
        <v>#REF!</v>
      </c>
      <c r="D5" s="45" t="e">
        <f>HLOOKUP(B5,#REF!,35,FALSE)/1000</f>
        <v>#REF!</v>
      </c>
      <c r="E5" s="33" t="e">
        <f>HLOOKUP(B5,#REF!,33,FALSE)/1000</f>
        <v>#REF!</v>
      </c>
      <c r="F5" s="45" t="e">
        <f>HLOOKUP(B5,#REF!,37,FALSE)/1000</f>
        <v>#REF!</v>
      </c>
      <c r="G5" s="3" t="s">
        <v>20</v>
      </c>
      <c r="H5" s="3" t="s">
        <v>20</v>
      </c>
    </row>
  </sheetData>
  <mergeCells count="2">
    <mergeCell ref="C1:D1"/>
    <mergeCell ref="E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51F83-C9AF-4B08-A786-AED63E1575A3}">
  <sheetPr codeName="Лист3" filterMode="1"/>
  <dimension ref="A1:Z78"/>
  <sheetViews>
    <sheetView workbookViewId="0">
      <selection activeCell="M96" sqref="M96"/>
    </sheetView>
  </sheetViews>
  <sheetFormatPr defaultColWidth="9.140625" defaultRowHeight="15" x14ac:dyDescent="0.25"/>
  <cols>
    <col min="1" max="1" width="9.140625" style="18"/>
    <col min="2" max="2" width="51" style="29" customWidth="1"/>
    <col min="3" max="4" width="10.140625" style="14" bestFit="1" customWidth="1"/>
    <col min="5" max="5" width="10.140625" style="15" bestFit="1" customWidth="1"/>
    <col min="6" max="16384" width="9.140625" style="7"/>
  </cols>
  <sheetData>
    <row r="1" spans="1:26" s="45" customFormat="1" ht="48.75" customHeight="1" x14ac:dyDescent="0.25">
      <c r="A1" s="22" t="s">
        <v>30</v>
      </c>
      <c r="B1" s="23"/>
      <c r="C1" s="24"/>
      <c r="D1" s="24"/>
      <c r="E1" s="25"/>
      <c r="L1" s="77">
        <v>9.374026933282259E-2</v>
      </c>
      <c r="M1" s="7"/>
      <c r="N1" s="77">
        <v>8.54367878854871E-2</v>
      </c>
      <c r="O1" s="7"/>
      <c r="P1" s="77">
        <v>8.0019350698478348E-2</v>
      </c>
    </row>
    <row r="2" spans="1:26" s="11" customFormat="1" ht="45" x14ac:dyDescent="0.25">
      <c r="A2" s="26" t="s">
        <v>88</v>
      </c>
      <c r="B2" s="27" t="s">
        <v>0</v>
      </c>
      <c r="C2" s="27" t="s">
        <v>90</v>
      </c>
      <c r="D2" s="16" t="s">
        <v>29</v>
      </c>
      <c r="E2" s="28" t="s">
        <v>89</v>
      </c>
      <c r="F2" s="12"/>
      <c r="G2" s="12"/>
      <c r="H2" s="12"/>
      <c r="I2" s="12"/>
      <c r="J2" s="12"/>
      <c r="K2" s="12"/>
      <c r="L2" s="77">
        <v>6.9403276804034561E-2</v>
      </c>
      <c r="M2" s="7"/>
      <c r="N2" s="77">
        <v>6.4296553719436336E-2</v>
      </c>
      <c r="O2" s="7"/>
      <c r="P2" s="77">
        <v>7.570457114210527E-2</v>
      </c>
      <c r="Q2" s="12"/>
      <c r="R2" s="12"/>
      <c r="S2" s="12"/>
      <c r="T2" s="12"/>
      <c r="U2" s="12"/>
      <c r="V2" s="12"/>
      <c r="W2" s="12"/>
      <c r="X2" s="13"/>
      <c r="Y2" s="12"/>
      <c r="Z2" s="12"/>
    </row>
    <row r="3" spans="1:26" hidden="1" x14ac:dyDescent="0.25">
      <c r="A3" s="18">
        <v>1</v>
      </c>
      <c r="B3" s="8" t="s">
        <v>41</v>
      </c>
      <c r="C3" s="14" t="e">
        <f>HLOOKUP(B3,#REF!,11,FALSE)/1000+HLOOKUP(B3,#REF!,31,FALSE)/1000+HLOOKUP(B3,#REF!,42,FALSE)/1000+HLOOKUP(B3,#REF!,53,FALSE)/1000</f>
        <v>#REF!</v>
      </c>
      <c r="D3" s="14" t="e">
        <f>HLOOKUP(B3,#REF!,12,FALSE)/1000+HLOOKUP(B3,#REF!,32,FALSE)/1000+HLOOKUP(B3,#REF!,43,FALSE)/1000+HLOOKUP(B3,#REF!,54,FALSE)/1000</f>
        <v>#REF!</v>
      </c>
      <c r="E3" s="68" t="e">
        <f>HLOOKUP(B3,#REF!,13,FALSE)/1000+HLOOKUP(B3,#REF!,33,FALSE)/1000+HLOOKUP(B3,#REF!,44,FALSE)/1000+HLOOKUP(B3,#REF!,55,FALSE)/1000</f>
        <v>#REF!</v>
      </c>
      <c r="L3" s="77">
        <v>5.9318133040494048E-2</v>
      </c>
      <c r="N3" s="77">
        <v>5.3817684339974046E-2</v>
      </c>
      <c r="P3" s="77">
        <v>7.4122265689675504E-2</v>
      </c>
    </row>
    <row r="4" spans="1:26" hidden="1" x14ac:dyDescent="0.25">
      <c r="A4" s="18">
        <v>2</v>
      </c>
      <c r="B4" s="8" t="s">
        <v>8</v>
      </c>
      <c r="C4" s="14" t="e">
        <f>HLOOKUP(B4,#REF!,11,FALSE)/1000+HLOOKUP(B4,#REF!,31,FALSE)/1000+HLOOKUP(B4,#REF!,42,FALSE)/1000+HLOOKUP(B4,#REF!,53,FALSE)/1000</f>
        <v>#REF!</v>
      </c>
      <c r="D4" s="14" t="e">
        <f>HLOOKUP(B4,#REF!,12,FALSE)/1000+HLOOKUP(B4,#REF!,32,FALSE)/1000+HLOOKUP(B4,#REF!,43,FALSE)/1000+HLOOKUP(B4,#REF!,54,FALSE)/1000</f>
        <v>#REF!</v>
      </c>
      <c r="E4" s="68" t="e">
        <f>HLOOKUP(B4,#REF!,13,FALSE)/1000+HLOOKUP(B4,#REF!,33,FALSE)/1000+HLOOKUP(B4,#REF!,44,FALSE)/1000+HLOOKUP(B4,#REF!,55,FALSE)/1000</f>
        <v>#REF!</v>
      </c>
      <c r="L4" s="77">
        <v>5.1676083751532195E-2</v>
      </c>
      <c r="N4" s="77">
        <v>4.7796062912439423E-2</v>
      </c>
      <c r="P4" s="77">
        <v>5.1502300460470267E-2</v>
      </c>
    </row>
    <row r="5" spans="1:26" hidden="1" x14ac:dyDescent="0.25">
      <c r="A5" s="18">
        <v>3</v>
      </c>
      <c r="B5" s="8" t="s">
        <v>15</v>
      </c>
      <c r="C5" s="14" t="e">
        <f>HLOOKUP(B5,#REF!,11,FALSE)/1000+HLOOKUP(B5,#REF!,31,FALSE)/1000+HLOOKUP(B5,#REF!,42,FALSE)/1000+HLOOKUP(B5,#REF!,53,FALSE)/1000</f>
        <v>#REF!</v>
      </c>
      <c r="D5" s="14" t="e">
        <f>HLOOKUP(B5,#REF!,12,FALSE)/1000+HLOOKUP(B5,#REF!,32,FALSE)/1000+HLOOKUP(B5,#REF!,43,FALSE)/1000+HLOOKUP(B5,#REF!,54,FALSE)/1000</f>
        <v>#REF!</v>
      </c>
      <c r="E5" s="68" t="e">
        <f>HLOOKUP(B5,#REF!,13,FALSE)/1000+HLOOKUP(B5,#REF!,33,FALSE)/1000+HLOOKUP(B5,#REF!,44,FALSE)/1000+HLOOKUP(B5,#REF!,55,FALSE)/1000</f>
        <v>#REF!</v>
      </c>
      <c r="L5" s="77">
        <v>4.2893661362266917E-2</v>
      </c>
      <c r="N5" s="77">
        <v>4.7071944388229439E-2</v>
      </c>
      <c r="P5" s="77">
        <v>4.8188673718991076E-2</v>
      </c>
    </row>
    <row r="6" spans="1:26" hidden="1" x14ac:dyDescent="0.25">
      <c r="A6" s="18">
        <v>4</v>
      </c>
      <c r="B6" s="8" t="s">
        <v>31</v>
      </c>
      <c r="C6" s="14" t="e">
        <f>HLOOKUP(B6,#REF!,11,FALSE)/1000+HLOOKUP(B6,#REF!,31,FALSE)/1000+HLOOKUP(B6,#REF!,42,FALSE)/1000+HLOOKUP(B6,#REF!,53,FALSE)/1000</f>
        <v>#REF!</v>
      </c>
      <c r="D6" s="14" t="e">
        <f>HLOOKUP(B6,#REF!,12,FALSE)/1000+HLOOKUP(B6,#REF!,32,FALSE)/1000+HLOOKUP(B6,#REF!,43,FALSE)/1000+HLOOKUP(B6,#REF!,54,FALSE)/1000</f>
        <v>#REF!</v>
      </c>
      <c r="E6" s="68" t="e">
        <f>HLOOKUP(B6,#REF!,13,FALSE)/1000+HLOOKUP(B6,#REF!,33,FALSE)/1000+HLOOKUP(B6,#REF!,44,FALSE)/1000+HLOOKUP(B6,#REF!,55,FALSE)/1000</f>
        <v>#REF!</v>
      </c>
      <c r="L6" s="77">
        <v>4.0854823297986884E-2</v>
      </c>
      <c r="M6" s="67"/>
      <c r="N6" s="77">
        <v>4.3190833152372168E-2</v>
      </c>
      <c r="O6" s="67"/>
      <c r="P6" s="77">
        <v>4.2073184237827244E-2</v>
      </c>
    </row>
    <row r="7" spans="1:26" hidden="1" x14ac:dyDescent="0.25">
      <c r="A7" s="18">
        <v>5</v>
      </c>
      <c r="B7" s="9" t="s">
        <v>87</v>
      </c>
      <c r="C7" s="65" t="e">
        <f>HLOOKUP(B7,#REF!,11,FALSE)/1000+HLOOKUP(B7,#REF!,31,FALSE)/1000+HLOOKUP(B7,#REF!,42,FALSE)/1000+HLOOKUP(B7,#REF!,53,FALSE)/1000</f>
        <v>#REF!</v>
      </c>
      <c r="D7" s="65" t="e">
        <f>HLOOKUP(B7,#REF!,12,FALSE)/1000+HLOOKUP(B7,#REF!,32,FALSE)/1000+HLOOKUP(B7,#REF!,43,FALSE)/1000+HLOOKUP(B7,#REF!,54,FALSE)/1000</f>
        <v>#REF!</v>
      </c>
      <c r="E7" s="68" t="e">
        <f>HLOOKUP(B7,#REF!,13,FALSE)/1000+HLOOKUP(B7,#REF!,33,FALSE)/1000+HLOOKUP(B7,#REF!,44,FALSE)/1000+HLOOKUP(B7,#REF!,55,FALSE)/1000</f>
        <v>#REF!</v>
      </c>
      <c r="L7" s="77">
        <v>3.9440124536134567E-2</v>
      </c>
      <c r="N7" s="77">
        <v>4.1529765870912699E-2</v>
      </c>
      <c r="P7" s="77">
        <v>3.4098583034299704E-2</v>
      </c>
    </row>
    <row r="8" spans="1:26" s="67" customFormat="1" hidden="1" x14ac:dyDescent="0.25">
      <c r="A8" s="18">
        <v>6</v>
      </c>
      <c r="B8" s="64" t="s">
        <v>32</v>
      </c>
      <c r="C8" s="65" t="e">
        <f>HLOOKUP(B8,#REF!,11,FALSE)/1000+HLOOKUP(B8,#REF!,31,FALSE)/1000+HLOOKUP(B8,#REF!,42,FALSE)/1000+HLOOKUP(B8,#REF!,53,FALSE)/1000</f>
        <v>#REF!</v>
      </c>
      <c r="D8" s="65" t="e">
        <f>HLOOKUP(B8,#REF!,12,FALSE)/1000+HLOOKUP(B8,#REF!,32,FALSE)/1000+HLOOKUP(B8,#REF!,43,FALSE)/1000+HLOOKUP(B8,#REF!,54,FALSE)/1000</f>
        <v>#REF!</v>
      </c>
      <c r="E8" s="68" t="e">
        <f>HLOOKUP(B8,#REF!,13,FALSE)/1000+HLOOKUP(B8,#REF!,33,FALSE)/1000+HLOOKUP(B8,#REF!,44,FALSE)/1000+HLOOKUP(B8,#REF!,55,FALSE)/1000</f>
        <v>#REF!</v>
      </c>
      <c r="L8" s="77">
        <v>3.5069645776068074E-2</v>
      </c>
      <c r="M8" s="7"/>
      <c r="N8" s="77">
        <v>3.6903760766107303E-2</v>
      </c>
      <c r="O8" s="7"/>
      <c r="P8" s="77">
        <v>2.767506046730393E-2</v>
      </c>
    </row>
    <row r="9" spans="1:26" hidden="1" x14ac:dyDescent="0.25">
      <c r="A9" s="18">
        <v>7</v>
      </c>
      <c r="B9" s="8" t="s">
        <v>40</v>
      </c>
      <c r="C9" s="14" t="e">
        <f>HLOOKUP(B9,#REF!,11,FALSE)/1000+HLOOKUP(B9,#REF!,31,FALSE)/1000+HLOOKUP(B9,#REF!,42,FALSE)/1000+HLOOKUP(B9,#REF!,53,FALSE)/1000</f>
        <v>#REF!</v>
      </c>
      <c r="D9" s="14" t="e">
        <f>HLOOKUP(B9,#REF!,12,FALSE)/1000+HLOOKUP(B9,#REF!,32,FALSE)/1000+HLOOKUP(B9,#REF!,43,FALSE)/1000+HLOOKUP(B9,#REF!,54,FALSE)/1000</f>
        <v>#REF!</v>
      </c>
      <c r="E9" s="66" t="e">
        <f>HLOOKUP(B9,#REF!,13,FALSE)/1000+HLOOKUP(B9,#REF!,33,FALSE)/1000+HLOOKUP(B9,#REF!,44,FALSE)/1000+HLOOKUP(B9,#REF!,55,FALSE)/1000</f>
        <v>#REF!</v>
      </c>
      <c r="L9" s="77">
        <v>3.0046719208812158E-2</v>
      </c>
      <c r="N9" s="77">
        <v>3.2023750297858734E-2</v>
      </c>
      <c r="P9" s="77">
        <v>2.7318061207724512E-2</v>
      </c>
    </row>
    <row r="10" spans="1:26" hidden="1" x14ac:dyDescent="0.25">
      <c r="A10" s="18">
        <v>8</v>
      </c>
      <c r="B10" s="8" t="s">
        <v>33</v>
      </c>
      <c r="C10" s="14" t="e">
        <f>HLOOKUP(B10,#REF!,11,FALSE)/1000+HLOOKUP(B10,#REF!,31,FALSE)/1000+HLOOKUP(B10,#REF!,42,FALSE)/1000+HLOOKUP(B10,#REF!,53,FALSE)/1000</f>
        <v>#REF!</v>
      </c>
      <c r="D10" s="14" t="e">
        <f>HLOOKUP(B10,#REF!,12,FALSE)/1000+HLOOKUP(B10,#REF!,32,FALSE)/1000+HLOOKUP(B10,#REF!,43,FALSE)/1000+HLOOKUP(B10,#REF!,54,FALSE)/1000</f>
        <v>#REF!</v>
      </c>
      <c r="E10" s="68" t="e">
        <f>HLOOKUP(B10,#REF!,13,FALSE)/1000+HLOOKUP(B10,#REF!,33,FALSE)/1000+HLOOKUP(B10,#REF!,44,FALSE)/1000+HLOOKUP(B10,#REF!,55,FALSE)/1000</f>
        <v>#REF!</v>
      </c>
      <c r="L10" s="77">
        <v>2.7408999480557656E-2</v>
      </c>
      <c r="N10" s="77">
        <v>3.1717299602441441E-2</v>
      </c>
      <c r="P10" s="77">
        <v>2.7198593156675773E-2</v>
      </c>
    </row>
    <row r="11" spans="1:26" hidden="1" x14ac:dyDescent="0.25">
      <c r="A11" s="18">
        <v>9</v>
      </c>
      <c r="B11" s="8" t="s">
        <v>42</v>
      </c>
      <c r="C11" s="14" t="e">
        <f>HLOOKUP(B11,#REF!,11,FALSE)/1000+HLOOKUP(B11,#REF!,31,FALSE)/1000+HLOOKUP(B11,#REF!,42,FALSE)/1000+HLOOKUP(B11,#REF!,53,FALSE)/1000</f>
        <v>#REF!</v>
      </c>
      <c r="D11" s="14" t="e">
        <f>HLOOKUP(B11,#REF!,12,FALSE)/1000+HLOOKUP(B11,#REF!,32,FALSE)/1000+HLOOKUP(B11,#REF!,43,FALSE)/1000+HLOOKUP(B11,#REF!,54,FALSE)/1000</f>
        <v>#REF!</v>
      </c>
      <c r="E11" s="66" t="e">
        <f>HLOOKUP(B11,#REF!,13,FALSE)/1000+HLOOKUP(B11,#REF!,33,FALSE)/1000+HLOOKUP(B11,#REF!,44,FALSE)/1000+HLOOKUP(B11,#REF!,55,FALSE)/1000</f>
        <v>#REF!</v>
      </c>
      <c r="L11" s="77">
        <v>2.5475740351743537E-2</v>
      </c>
      <c r="N11" s="77">
        <v>2.8814144913552973E-2</v>
      </c>
      <c r="P11" s="77">
        <v>2.6067605845552559E-2</v>
      </c>
    </row>
    <row r="12" spans="1:26" hidden="1" x14ac:dyDescent="0.25">
      <c r="A12" s="18">
        <v>10</v>
      </c>
      <c r="B12" s="8" t="s">
        <v>36</v>
      </c>
      <c r="C12" s="14" t="e">
        <f>HLOOKUP(B12,#REF!,11,FALSE)/1000+HLOOKUP(B12,#REF!,31,FALSE)/1000+HLOOKUP(B12,#REF!,42,FALSE)/1000+HLOOKUP(B12,#REF!,53,FALSE)/1000</f>
        <v>#REF!</v>
      </c>
      <c r="D12" s="14" t="e">
        <f>HLOOKUP(B12,#REF!,12,FALSE)/1000+HLOOKUP(B12,#REF!,32,FALSE)/1000+HLOOKUP(B12,#REF!,43,FALSE)/1000+HLOOKUP(B12,#REF!,54,FALSE)/1000</f>
        <v>#REF!</v>
      </c>
      <c r="E12" s="68" t="e">
        <f>HLOOKUP(B12,#REF!,13,FALSE)/1000+HLOOKUP(B12,#REF!,33,FALSE)/1000+HLOOKUP(B12,#REF!,44,FALSE)/1000+HLOOKUP(B12,#REF!,55,FALSE)/1000</f>
        <v>#REF!</v>
      </c>
      <c r="L12" s="77">
        <v>2.2372832701715747E-2</v>
      </c>
      <c r="N12" s="77">
        <v>2.8357138976147785E-2</v>
      </c>
      <c r="P12" s="77">
        <v>2.5070835903060886E-2</v>
      </c>
    </row>
    <row r="13" spans="1:26" hidden="1" x14ac:dyDescent="0.25">
      <c r="A13" s="18">
        <v>11</v>
      </c>
      <c r="B13" s="8" t="s">
        <v>25</v>
      </c>
      <c r="C13" s="14" t="e">
        <f>HLOOKUP(B13,#REF!,11,FALSE)/1000+HLOOKUP(B13,#REF!,31,FALSE)/1000+HLOOKUP(B13,#REF!,42,FALSE)/1000+HLOOKUP(B13,#REF!,53,FALSE)/1000</f>
        <v>#REF!</v>
      </c>
      <c r="D13" s="14" t="e">
        <f>HLOOKUP(B13,#REF!,12,FALSE)/1000+HLOOKUP(B13,#REF!,32,FALSE)/1000+HLOOKUP(B13,#REF!,43,FALSE)/1000+HLOOKUP(B13,#REF!,54,FALSE)/1000</f>
        <v>#REF!</v>
      </c>
      <c r="E13" s="68" t="e">
        <f>HLOOKUP(B13,#REF!,13,FALSE)/1000+HLOOKUP(B13,#REF!,33,FALSE)/1000+HLOOKUP(B13,#REF!,44,FALSE)/1000+HLOOKUP(B13,#REF!,55,FALSE)/1000</f>
        <v>#REF!</v>
      </c>
      <c r="L13" s="77">
        <v>2.1888899792998094E-2</v>
      </c>
      <c r="N13" s="77">
        <v>2.7314045572611634E-2</v>
      </c>
      <c r="P13" s="77">
        <v>2.446535759421772E-2</v>
      </c>
    </row>
    <row r="14" spans="1:26" hidden="1" x14ac:dyDescent="0.25">
      <c r="A14" s="18">
        <v>12</v>
      </c>
      <c r="B14" s="8" t="s">
        <v>45</v>
      </c>
      <c r="C14" s="14" t="e">
        <f>HLOOKUP(B14,#REF!,11,FALSE)/1000+HLOOKUP(B14,#REF!,31,FALSE)/1000+HLOOKUP(B14,#REF!,42,FALSE)/1000+HLOOKUP(B14,#REF!,53,FALSE)/1000</f>
        <v>#REF!</v>
      </c>
      <c r="D14" s="14" t="e">
        <f>HLOOKUP(B14,#REF!,12,FALSE)/1000+HLOOKUP(B14,#REF!,32,FALSE)/1000+HLOOKUP(B14,#REF!,43,FALSE)/1000+HLOOKUP(B14,#REF!,54,FALSE)/1000</f>
        <v>#REF!</v>
      </c>
      <c r="E14" s="68" t="e">
        <f>HLOOKUP(B14,#REF!,13,FALSE)/1000+HLOOKUP(B14,#REF!,33,FALSE)/1000+HLOOKUP(B14,#REF!,44,FALSE)/1000+HLOOKUP(B14,#REF!,55,FALSE)/1000</f>
        <v>#REF!</v>
      </c>
      <c r="L14" s="77">
        <v>2.1277614767440958E-2</v>
      </c>
      <c r="N14" s="77">
        <v>2.1752544276835581E-2</v>
      </c>
      <c r="P14" s="77">
        <v>2.096452977587715E-2</v>
      </c>
    </row>
    <row r="15" spans="1:26" hidden="1" x14ac:dyDescent="0.25">
      <c r="A15" s="18">
        <v>13</v>
      </c>
      <c r="B15" s="8" t="s">
        <v>39</v>
      </c>
      <c r="C15" s="14" t="e">
        <f>HLOOKUP(B15,#REF!,11,FALSE)/1000+HLOOKUP(B15,#REF!,31,FALSE)/1000+HLOOKUP(B15,#REF!,42,FALSE)/1000+HLOOKUP(B15,#REF!,53,FALSE)/1000</f>
        <v>#REF!</v>
      </c>
      <c r="D15" s="14" t="e">
        <f>HLOOKUP(B15,#REF!,12,FALSE)/1000+HLOOKUP(B15,#REF!,32,FALSE)/1000+HLOOKUP(B15,#REF!,43,FALSE)/1000+HLOOKUP(B15,#REF!,54,FALSE)/1000</f>
        <v>#REF!</v>
      </c>
      <c r="E15" s="68" t="e">
        <f>HLOOKUP(B15,#REF!,13,FALSE)/1000+HLOOKUP(B15,#REF!,33,FALSE)/1000+HLOOKUP(B15,#REF!,44,FALSE)/1000+HLOOKUP(B15,#REF!,55,FALSE)/1000</f>
        <v>#REF!</v>
      </c>
      <c r="L15" s="77">
        <v>1.976727411199327E-2</v>
      </c>
      <c r="N15" s="77">
        <v>2.0549650302461551E-2</v>
      </c>
      <c r="P15" s="77">
        <v>2.0925984589479012E-2</v>
      </c>
    </row>
    <row r="16" spans="1:26" ht="18" hidden="1" x14ac:dyDescent="0.25">
      <c r="A16" s="18">
        <v>14</v>
      </c>
      <c r="B16" s="10" t="s">
        <v>73</v>
      </c>
      <c r="C16" s="14">
        <f>HLOOKUP(B16,[2]Result!$B$1:$AO$16,3,FALSE)/1000+HLOOKUP(B16,[2]Result!$B$1:$AO$16,10,FALSE)/1000</f>
        <v>620.84100000000001</v>
      </c>
      <c r="D16" s="14">
        <f>HLOOKUP(B16,[2]Result!$B$1:$AO$16,4,FALSE)/1000+HLOOKUP(B16,[2]Result!$B$1:$AO$16,11,FALSE)/1000</f>
        <v>790.94</v>
      </c>
      <c r="E16" s="15">
        <f>HLOOKUP(B16,[2]Result!$B$1:$AO$16,5,FALSE)/1000+HLOOKUP(B16,[2]Result!$B$1:$AO$16,12,FALSE)/1000</f>
        <v>1148.7060000000001</v>
      </c>
      <c r="L16" s="77">
        <v>1.8968763184117988E-2</v>
      </c>
      <c r="N16" s="77">
        <v>2.026368591369784E-2</v>
      </c>
      <c r="P16" s="77">
        <v>2.0680295527314409E-2</v>
      </c>
    </row>
    <row r="17" spans="1:16" ht="17.25" hidden="1" x14ac:dyDescent="0.25">
      <c r="A17" s="18">
        <v>15</v>
      </c>
      <c r="B17" s="10" t="s">
        <v>80</v>
      </c>
      <c r="C17" s="14">
        <f>HLOOKUP(B17,[2]Result!$B$1:$AO$16,3,FALSE)/1000+HLOOKUP(B17,[2]Result!$B$1:$AO$16,10,FALSE)/1000</f>
        <v>775.62900000000002</v>
      </c>
      <c r="D17" s="14">
        <f>HLOOKUP(B17,[2]Result!$B$1:$AO$16,4,FALSE)/1000+HLOOKUP(B17,[2]Result!$B$1:$AO$16,11,FALSE)/1000</f>
        <v>856.07100000000003</v>
      </c>
      <c r="E17" s="15">
        <f>HLOOKUP(B17,[2]Result!$B$1:$AO$16,5,FALSE)/1000+HLOOKUP(B17,[2]Result!$B$1:$AO$16,12,FALSE)/1000</f>
        <v>1146.5939999999998</v>
      </c>
      <c r="L17" s="77">
        <v>1.5906020643956516E-2</v>
      </c>
      <c r="N17" s="77">
        <v>1.8082063156703108E-2</v>
      </c>
      <c r="P17" s="77">
        <v>1.9358533269250699E-2</v>
      </c>
    </row>
    <row r="18" spans="1:16" ht="16.5" hidden="1" x14ac:dyDescent="0.25">
      <c r="A18" s="18">
        <v>16</v>
      </c>
      <c r="B18" s="10" t="s">
        <v>71</v>
      </c>
      <c r="C18" s="14">
        <f>HLOOKUP(B18,[2]Result!$B$1:$AO$16,3,FALSE)/1000+HLOOKUP(B18,[2]Result!$B$1:$AO$16,10,FALSE)/1000</f>
        <v>877.86599999999999</v>
      </c>
      <c r="D18" s="14">
        <f>HLOOKUP(B18,[2]Result!$B$1:$AO$16,4,FALSE)/1000+HLOOKUP(B18,[2]Result!$B$1:$AO$16,11,FALSE)/1000</f>
        <v>1029.845</v>
      </c>
      <c r="E18" s="15">
        <f>HLOOKUP(B18,[2]Result!$B$1:$AO$16,5,FALSE)/1000+HLOOKUP(B18,[2]Result!$B$1:$AO$16,12,FALSE)/1000</f>
        <v>1133.1320000000001</v>
      </c>
      <c r="L18" s="77">
        <v>1.5822428283321036E-2</v>
      </c>
      <c r="N18" s="77">
        <v>1.7718001717209265E-2</v>
      </c>
      <c r="P18" s="77">
        <v>1.8786179227530449E-2</v>
      </c>
    </row>
    <row r="19" spans="1:16" ht="18" hidden="1" x14ac:dyDescent="0.25">
      <c r="A19" s="18">
        <v>17</v>
      </c>
      <c r="B19" s="10" t="s">
        <v>59</v>
      </c>
      <c r="C19" s="14">
        <f>HLOOKUP(B19,[2]Result!$B$1:$AO$16,3,FALSE)/1000+HLOOKUP(B19,[2]Result!$B$1:$AO$16,10,FALSE)/1000</f>
        <v>834.8918000000001</v>
      </c>
      <c r="D19" s="14">
        <f>HLOOKUP(B19,[2]Result!$B$1:$AO$16,4,FALSE)/1000+HLOOKUP(B19,[2]Result!$B$1:$AO$16,11,FALSE)/1000</f>
        <v>972.89559999999994</v>
      </c>
      <c r="E19" s="15">
        <f>HLOOKUP(B19,[2]Result!$B$1:$AO$16,5,FALSE)/1000+HLOOKUP(B19,[2]Result!$B$1:$AO$16,12,FALSE)/1000</f>
        <v>1060.7088999999999</v>
      </c>
      <c r="L19" s="77">
        <v>1.5802090873629843E-2</v>
      </c>
      <c r="N19" s="77">
        <v>1.670635617041432E-2</v>
      </c>
      <c r="P19" s="77">
        <v>1.8138010527279664E-2</v>
      </c>
    </row>
    <row r="20" spans="1:16" hidden="1" x14ac:dyDescent="0.25">
      <c r="A20" s="18">
        <v>18</v>
      </c>
      <c r="B20" s="9" t="s">
        <v>47</v>
      </c>
      <c r="C20" s="14" t="e">
        <f>HLOOKUP(B20,#REF!,11,FALSE)/1000+HLOOKUP(B20,#REF!,31,FALSE)/1000+HLOOKUP(B20,#REF!,42,FALSE)/1000+HLOOKUP(B20,#REF!,53,FALSE)/1000</f>
        <v>#REF!</v>
      </c>
      <c r="D20" s="14" t="e">
        <f>HLOOKUP(B20,#REF!,12,FALSE)/1000+HLOOKUP(B20,#REF!,32,FALSE)/1000+HLOOKUP(B20,#REF!,43,FALSE)/1000+HLOOKUP(B20,#REF!,54,FALSE)/1000</f>
        <v>#REF!</v>
      </c>
      <c r="E20" s="66" t="e">
        <f>HLOOKUP(B20,#REF!,13,FALSE)/1000+HLOOKUP(B20,#REF!,33,FALSE)/1000+HLOOKUP(B20,#REF!,44,FALSE)/1000+HLOOKUP(B20,#REF!,55,FALSE)/1000</f>
        <v>#REF!</v>
      </c>
      <c r="L20" s="77">
        <v>1.519777927137724E-2</v>
      </c>
      <c r="N20" s="77">
        <v>1.6157497009051617E-2</v>
      </c>
      <c r="P20" s="77">
        <v>1.5887497257806915E-2</v>
      </c>
    </row>
    <row r="21" spans="1:16" hidden="1" x14ac:dyDescent="0.25">
      <c r="A21" s="18">
        <v>19</v>
      </c>
      <c r="B21" s="8" t="s">
        <v>22</v>
      </c>
      <c r="C21" s="14" t="e">
        <f>HLOOKUP(B21,#REF!,11,FALSE)/1000+HLOOKUP(B21,#REF!,31,FALSE)/1000+HLOOKUP(B21,#REF!,42,FALSE)/1000+HLOOKUP(B21,#REF!,53,FALSE)/1000</f>
        <v>#REF!</v>
      </c>
      <c r="D21" s="14" t="e">
        <f>HLOOKUP(B21,#REF!,12,FALSE)/1000+HLOOKUP(B21,#REF!,32,FALSE)/1000+HLOOKUP(B21,#REF!,43,FALSE)/1000+HLOOKUP(B21,#REF!,54,FALSE)/1000</f>
        <v>#REF!</v>
      </c>
      <c r="E21" s="66" t="e">
        <f>HLOOKUP(B21,#REF!,13,FALSE)/1000+HLOOKUP(B21,#REF!,33,FALSE)/1000+HLOOKUP(B21,#REF!,44,FALSE)/1000+HLOOKUP(B21,#REF!,55,FALSE)/1000</f>
        <v>#REF!</v>
      </c>
      <c r="L21" s="77">
        <v>1.4937317708665465E-2</v>
      </c>
      <c r="N21" s="77">
        <v>1.4776087041290133E-2</v>
      </c>
      <c r="P21" s="77">
        <v>1.4388286612986393E-2</v>
      </c>
    </row>
    <row r="22" spans="1:16" ht="16.5" hidden="1" x14ac:dyDescent="0.25">
      <c r="A22" s="18">
        <v>20</v>
      </c>
      <c r="B22" s="10" t="s">
        <v>84</v>
      </c>
      <c r="C22" s="14">
        <f>HLOOKUP(B22,[2]Result!$B$1:$AO$16,3,FALSE)/1000+HLOOKUP(B22,[2]Result!$B$1:$AO$16,10,FALSE)/1000</f>
        <v>620.04300000000001</v>
      </c>
      <c r="D22" s="14">
        <f>HLOOKUP(B22,[2]Result!$B$1:$AO$16,4,FALSE)/1000+HLOOKUP(B22,[2]Result!$B$1:$AO$16,11,FALSE)/1000</f>
        <v>671.33</v>
      </c>
      <c r="E22" s="15">
        <f>HLOOKUP(B22,[2]Result!$B$1:$AO$16,5,FALSE)/1000+HLOOKUP(B22,[2]Result!$B$1:$AO$16,12,FALSE)/1000</f>
        <v>788.375</v>
      </c>
      <c r="L22" s="77">
        <v>1.3949882948658839E-2</v>
      </c>
      <c r="N22" s="77">
        <v>1.4179935378011283E-2</v>
      </c>
      <c r="P22" s="77">
        <v>1.3657807879281265E-2</v>
      </c>
    </row>
    <row r="23" spans="1:16" ht="18" hidden="1" x14ac:dyDescent="0.25">
      <c r="A23" s="18">
        <v>21</v>
      </c>
      <c r="B23" s="10" t="s">
        <v>75</v>
      </c>
      <c r="C23" s="14">
        <f>HLOOKUP(B23,[2]Result!$B$1:$AO$16,3,FALSE)/1000+HLOOKUP(B23,[2]Result!$B$1:$AO$16,10,FALSE)/1000</f>
        <v>547.36599999999999</v>
      </c>
      <c r="D23" s="14">
        <f>HLOOKUP(B23,[2]Result!$B$1:$AO$16,4,FALSE)/1000+HLOOKUP(B23,[2]Result!$B$1:$AO$16,11,FALSE)/1000</f>
        <v>572.58500000000004</v>
      </c>
      <c r="E23" s="15">
        <f>HLOOKUP(B23,[2]Result!$B$1:$AO$16,5,FALSE)/1000+HLOOKUP(B23,[2]Result!$B$1:$AO$16,12,FALSE)/1000</f>
        <v>748.35</v>
      </c>
      <c r="L23" s="77">
        <v>1.2496782671865813E-2</v>
      </c>
      <c r="N23" s="77">
        <v>1.3407899541683858E-2</v>
      </c>
      <c r="P23" s="77">
        <v>1.3423616671013827E-2</v>
      </c>
    </row>
    <row r="24" spans="1:16" hidden="1" x14ac:dyDescent="0.25">
      <c r="A24" s="18">
        <v>22</v>
      </c>
      <c r="B24" s="8" t="s">
        <v>11</v>
      </c>
      <c r="C24" s="14" t="e">
        <f>HLOOKUP(B24,#REF!,11,FALSE)/1000+HLOOKUP(B24,#REF!,31,FALSE)/1000+HLOOKUP(B24,#REF!,42,FALSE)/1000+HLOOKUP(B24,#REF!,53,FALSE)/1000</f>
        <v>#REF!</v>
      </c>
      <c r="D24" s="14" t="e">
        <f>HLOOKUP(B24,#REF!,12,FALSE)/1000+HLOOKUP(B24,#REF!,32,FALSE)/1000+HLOOKUP(B24,#REF!,43,FALSE)/1000+HLOOKUP(B24,#REF!,54,FALSE)/1000</f>
        <v>#REF!</v>
      </c>
      <c r="E24" s="66" t="e">
        <f>HLOOKUP(B24,#REF!,13,FALSE)/1000+HLOOKUP(B24,#REF!,33,FALSE)/1000+HLOOKUP(B24,#REF!,44,FALSE)/1000+HLOOKUP(B24,#REF!,55,FALSE)/1000</f>
        <v>#REF!</v>
      </c>
      <c r="L24" s="77">
        <v>1.2331172952999507E-2</v>
      </c>
      <c r="N24" s="77">
        <v>1.2094228320525809E-2</v>
      </c>
      <c r="P24" s="77">
        <v>1.3196032166096825E-2</v>
      </c>
    </row>
    <row r="25" spans="1:16" hidden="1" x14ac:dyDescent="0.25">
      <c r="A25" s="18">
        <v>23</v>
      </c>
      <c r="B25" s="8" t="s">
        <v>46</v>
      </c>
      <c r="C25" s="14" t="e">
        <f>HLOOKUP(B25,#REF!,11,FALSE)/1000+HLOOKUP(B25,#REF!,31,FALSE)/1000+HLOOKUP(B25,#REF!,42,FALSE)/1000+HLOOKUP(B25,#REF!,53,FALSE)/1000</f>
        <v>#REF!</v>
      </c>
      <c r="D25" s="14" t="e">
        <f>HLOOKUP(B25,#REF!,12,FALSE)/1000+HLOOKUP(B25,#REF!,32,FALSE)/1000+HLOOKUP(B25,#REF!,43,FALSE)/1000+HLOOKUP(B25,#REF!,54,FALSE)/1000</f>
        <v>#REF!</v>
      </c>
      <c r="E25" s="66" t="e">
        <f>HLOOKUP(B25,#REF!,13,FALSE)/1000+HLOOKUP(B25,#REF!,33,FALSE)/1000+HLOOKUP(B25,#REF!,44,FALSE)/1000+HLOOKUP(B25,#REF!,55,FALSE)/1000</f>
        <v>#REF!</v>
      </c>
      <c r="L25" s="77">
        <v>1.2090773306318036E-2</v>
      </c>
      <c r="N25" s="77">
        <v>1.1967981208443267E-2</v>
      </c>
      <c r="P25" s="77">
        <v>1.0880661875363167E-2</v>
      </c>
    </row>
    <row r="26" spans="1:16" hidden="1" x14ac:dyDescent="0.25">
      <c r="A26" s="18">
        <v>24</v>
      </c>
      <c r="B26" s="8" t="s">
        <v>44</v>
      </c>
      <c r="C26" s="14" t="e">
        <f>HLOOKUP(B26,#REF!,11,FALSE)/1000+HLOOKUP(B26,#REF!,31,FALSE)/1000+HLOOKUP(B26,#REF!,42,FALSE)/1000+HLOOKUP(B26,#REF!,53,FALSE)/1000</f>
        <v>#REF!</v>
      </c>
      <c r="D26" s="14" t="e">
        <f>HLOOKUP(B26,#REF!,12,FALSE)/1000+HLOOKUP(B26,#REF!,32,FALSE)/1000+HLOOKUP(B26,#REF!,43,FALSE)/1000+HLOOKUP(B26,#REF!,54,FALSE)/1000</f>
        <v>#REF!</v>
      </c>
      <c r="E26" s="66" t="e">
        <f>HLOOKUP(B26,#REF!,13,FALSE)/1000+HLOOKUP(B26,#REF!,33,FALSE)/1000+HLOOKUP(B26,#REF!,44,FALSE)/1000+HLOOKUP(B26,#REF!,55,FALSE)/1000</f>
        <v>#REF!</v>
      </c>
      <c r="L26" s="77">
        <v>1.1816570225575225E-2</v>
      </c>
      <c r="N26" s="77">
        <v>1.1957694719638815E-2</v>
      </c>
      <c r="P26" s="77">
        <v>1.0448154588043638E-2</v>
      </c>
    </row>
    <row r="27" spans="1:16" x14ac:dyDescent="0.25">
      <c r="A27" s="18">
        <v>25</v>
      </c>
      <c r="B27" s="8" t="s">
        <v>13</v>
      </c>
      <c r="C27" s="14" t="e">
        <f>HLOOKUP(B27,#REF!,11,FALSE)/1000+HLOOKUP(B27,#REF!,31,FALSE)/1000+HLOOKUP(B27,#REF!,42,FALSE)/1000+HLOOKUP(B27,#REF!,53,FALSE)/1000</f>
        <v>#REF!</v>
      </c>
      <c r="D27" s="14" t="e">
        <f>HLOOKUP(B27,#REF!,12,FALSE)/1000+HLOOKUP(B27,#REF!,32,FALSE)/1000+HLOOKUP(B27,#REF!,43,FALSE)/1000+HLOOKUP(B27,#REF!,54,FALSE)/1000</f>
        <v>#REF!</v>
      </c>
      <c r="E27" s="66" t="e">
        <f>HLOOKUP(B27,#REF!,13,FALSE)/1000+HLOOKUP(B27,#REF!,33,FALSE)/1000+HLOOKUP(B27,#REF!,44,FALSE)/1000+HLOOKUP(B27,#REF!,55,FALSE)/1000</f>
        <v>#REF!</v>
      </c>
      <c r="L27" s="77">
        <v>1.1746128370454349E-2</v>
      </c>
      <c r="N27" s="77">
        <v>1.1479193451926262E-2</v>
      </c>
      <c r="P27" s="77">
        <v>9.8345889528548124E-3</v>
      </c>
    </row>
    <row r="28" spans="1:16" ht="18" hidden="1" x14ac:dyDescent="0.25">
      <c r="A28" s="18">
        <v>26</v>
      </c>
      <c r="B28" s="10" t="s">
        <v>83</v>
      </c>
      <c r="C28" s="14">
        <f>HLOOKUP(B28,[2]Result!$B$1:$AO$16,3,FALSE)/1000+HLOOKUP(B28,[2]Result!$B$1:$AO$16,10,FALSE)/1000</f>
        <v>435.89100000000002</v>
      </c>
      <c r="D28" s="14">
        <f>HLOOKUP(B28,[2]Result!$B$1:$AO$16,4,FALSE)/1000+HLOOKUP(B28,[2]Result!$B$1:$AO$16,11,FALSE)/1000</f>
        <v>420.70600000000002</v>
      </c>
      <c r="E28" s="15">
        <f>HLOOKUP(B28,[2]Result!$B$1:$AO$16,5,FALSE)/1000+HLOOKUP(B28,[2]Result!$B$1:$AO$16,12,FALSE)/1000</f>
        <v>523.14700000000005</v>
      </c>
      <c r="L28" s="77">
        <v>1.1579376902272046E-2</v>
      </c>
      <c r="N28" s="77">
        <v>1.0112357770150552E-2</v>
      </c>
      <c r="P28" s="77">
        <v>9.5477266234012918E-3</v>
      </c>
    </row>
    <row r="29" spans="1:16" ht="18" hidden="1" x14ac:dyDescent="0.25">
      <c r="A29" s="18">
        <v>27</v>
      </c>
      <c r="B29" s="10" t="s">
        <v>67</v>
      </c>
      <c r="C29" s="14">
        <f>HLOOKUP(B29,[2]Result!$B$1:$AO$16,3,FALSE)/1000+HLOOKUP(B29,[2]Result!$B$1:$AO$16,10,FALSE)/1000</f>
        <v>418.56900000000002</v>
      </c>
      <c r="D29" s="14">
        <f>HLOOKUP(B29,[2]Result!$B$1:$AO$16,4,FALSE)/1000+HLOOKUP(B29,[2]Result!$B$1:$AO$16,11,FALSE)/1000</f>
        <v>409.60300000000001</v>
      </c>
      <c r="E29" s="15">
        <f>HLOOKUP(B29,[2]Result!$B$1:$AO$16,5,FALSE)/1000+HLOOKUP(B29,[2]Result!$B$1:$AO$16,12,FALSE)/1000</f>
        <v>501.41199999999998</v>
      </c>
      <c r="L29" s="77">
        <v>1.1275615516170125E-2</v>
      </c>
      <c r="N29" s="77">
        <v>9.647480291511655E-3</v>
      </c>
      <c r="P29" s="77">
        <v>9.2188299651558888E-3</v>
      </c>
    </row>
    <row r="30" spans="1:16" ht="18" hidden="1" x14ac:dyDescent="0.25">
      <c r="A30" s="18">
        <v>28</v>
      </c>
      <c r="B30" s="10" t="s">
        <v>53</v>
      </c>
      <c r="C30" s="14">
        <f>HLOOKUP(B30,[2]Result!$B$1:$AO$16,3,FALSE)/1000+HLOOKUP(B30,[2]Result!$B$1:$AO$16,10,FALSE)/1000</f>
        <v>454.35199999999998</v>
      </c>
      <c r="D30" s="14">
        <f>HLOOKUP(B30,[2]Result!$B$1:$AO$16,4,FALSE)/1000+HLOOKUP(B30,[2]Result!$B$1:$AO$16,11,FALSE)/1000</f>
        <v>478.75599999999997</v>
      </c>
      <c r="E30" s="15">
        <f>HLOOKUP(B30,[2]Result!$B$1:$AO$16,5,FALSE)/1000+HLOOKUP(B30,[2]Result!$B$1:$AO$16,12,FALSE)/1000</f>
        <v>500.72499999999997</v>
      </c>
      <c r="L30" s="77">
        <v>1.1108889533463624E-2</v>
      </c>
      <c r="N30" s="77">
        <v>9.0531409090119051E-3</v>
      </c>
      <c r="P30" s="77">
        <v>9.1510506639489245E-3</v>
      </c>
    </row>
    <row r="31" spans="1:16" ht="17.25" hidden="1" x14ac:dyDescent="0.25">
      <c r="A31" s="18">
        <v>29</v>
      </c>
      <c r="B31" s="10" t="s">
        <v>51</v>
      </c>
      <c r="C31" s="14">
        <f>HLOOKUP(B31,[2]Result!$B$1:$AO$16,3,FALSE)/1000+HLOOKUP(B31,[2]Result!$B$1:$AO$16,10,FALSE)/1000</f>
        <v>314.34300000000002</v>
      </c>
      <c r="D31" s="14">
        <f>HLOOKUP(B31,[2]Result!$B$1:$AO$16,4,FALSE)/1000+HLOOKUP(B31,[2]Result!$B$1:$AO$16,11,FALSE)/1000</f>
        <v>411.71600000000001</v>
      </c>
      <c r="E31" s="15">
        <f>HLOOKUP(B31,[2]Result!$B$1:$AO$16,5,FALSE)/1000+HLOOKUP(B31,[2]Result!$B$1:$AO$16,12,FALSE)/1000</f>
        <v>479.80900000000003</v>
      </c>
      <c r="L31" s="77">
        <v>1.094468661286167E-2</v>
      </c>
      <c r="N31" s="77">
        <v>9.0353180358020597E-3</v>
      </c>
      <c r="P31" s="77">
        <v>9.1385125280324855E-3</v>
      </c>
    </row>
    <row r="32" spans="1:16" ht="18" hidden="1" x14ac:dyDescent="0.25">
      <c r="A32" s="18">
        <v>30</v>
      </c>
      <c r="B32" s="10" t="s">
        <v>69</v>
      </c>
      <c r="C32" s="14">
        <f>HLOOKUP(B32,[2]Result!$B$1:$AO$16,3,FALSE)/1000+HLOOKUP(B32,[2]Result!$B$1:$AO$16,10,FALSE)/1000</f>
        <v>429.44799999999998</v>
      </c>
      <c r="D32" s="14">
        <f>HLOOKUP(B32,[2]Result!$B$1:$AO$16,4,FALSE)/1000+HLOOKUP(B32,[2]Result!$B$1:$AO$16,11,FALSE)/1000</f>
        <v>427.76499999999999</v>
      </c>
      <c r="E32" s="15">
        <f>HLOOKUP(B32,[2]Result!$B$1:$AO$16,5,FALSE)/1000+HLOOKUP(B32,[2]Result!$B$1:$AO$16,12,FALSE)/1000</f>
        <v>478.21699999999998</v>
      </c>
      <c r="L32" s="77">
        <v>1.0869122177104291E-2</v>
      </c>
      <c r="N32" s="77">
        <v>8.8862167535215392E-3</v>
      </c>
      <c r="P32" s="77">
        <v>8.7567837786464413E-3</v>
      </c>
    </row>
    <row r="33" spans="1:16" ht="18" hidden="1" x14ac:dyDescent="0.25">
      <c r="A33" s="18">
        <v>31</v>
      </c>
      <c r="B33" s="10" t="s">
        <v>82</v>
      </c>
      <c r="C33" s="14">
        <f>HLOOKUP(B33,[2]Result!$B$1:$AO$16,3,FALSE)/1000+HLOOKUP(B33,[2]Result!$B$1:$AO$16,10,FALSE)/1000</f>
        <v>442.43299999999999</v>
      </c>
      <c r="D33" s="14">
        <f>HLOOKUP(B33,[2]Result!$B$1:$AO$16,4,FALSE)/1000+HLOOKUP(B33,[2]Result!$B$1:$AO$16,11,FALSE)/1000</f>
        <v>456.74700000000001</v>
      </c>
      <c r="E33" s="15">
        <f>HLOOKUP(B33,[2]Result!$B$1:$AO$16,5,FALSE)/1000+HLOOKUP(B33,[2]Result!$B$1:$AO$16,12,FALSE)/1000</f>
        <v>459.45100000000002</v>
      </c>
      <c r="L33" s="77">
        <v>1.066743012159539E-2</v>
      </c>
      <c r="N33" s="77">
        <v>8.8791830763718833E-3</v>
      </c>
      <c r="P33" s="77">
        <v>8.7277288843539101E-3</v>
      </c>
    </row>
    <row r="34" spans="1:16" ht="16.5" hidden="1" x14ac:dyDescent="0.25">
      <c r="A34" s="18">
        <v>32</v>
      </c>
      <c r="B34" s="10" t="s">
        <v>48</v>
      </c>
      <c r="C34" s="14">
        <f>HLOOKUP(B34,[2]Result!$B$1:$AO$16,3,FALSE)/1000+HLOOKUP(B34,[2]Result!$B$1:$AO$16,10,FALSE)/1000</f>
        <v>426.483</v>
      </c>
      <c r="D34" s="14">
        <f>HLOOKUP(B34,[2]Result!$B$1:$AO$16,4,FALSE)/1000+HLOOKUP(B34,[2]Result!$B$1:$AO$16,11,FALSE)/1000</f>
        <v>420.37299999999999</v>
      </c>
      <c r="E34" s="15">
        <f>HLOOKUP(B34,[2]Result!$B$1:$AO$16,5,FALSE)/1000+HLOOKUP(B34,[2]Result!$B$1:$AO$16,12,FALSE)/1000</f>
        <v>445.375</v>
      </c>
      <c r="L34" s="77">
        <v>1.0229334792533216E-2</v>
      </c>
      <c r="N34" s="77">
        <v>8.8144225534264129E-3</v>
      </c>
      <c r="P34" s="77">
        <v>8.3852388427121758E-3</v>
      </c>
    </row>
    <row r="35" spans="1:16" hidden="1" x14ac:dyDescent="0.25">
      <c r="A35" s="18">
        <v>33</v>
      </c>
      <c r="B35" s="8" t="s">
        <v>9</v>
      </c>
      <c r="C35" s="14" t="e">
        <f>HLOOKUP(B35,#REF!,11,FALSE)/1000+HLOOKUP(B35,#REF!,31,FALSE)/1000+HLOOKUP(B35,#REF!,42,FALSE)/1000+HLOOKUP(B35,#REF!,53,FALSE)/1000</f>
        <v>#REF!</v>
      </c>
      <c r="D35" s="14" t="e">
        <f>HLOOKUP(B35,#REF!,12,FALSE)/1000+HLOOKUP(B35,#REF!,32,FALSE)/1000+HLOOKUP(B35,#REF!,43,FALSE)/1000+HLOOKUP(B35,#REF!,54,FALSE)/1000</f>
        <v>#REF!</v>
      </c>
      <c r="E35" s="66" t="e">
        <f>HLOOKUP(B35,#REF!,13,FALSE)/1000+HLOOKUP(B35,#REF!,33,FALSE)/1000+HLOOKUP(B35,#REF!,44,FALSE)/1000+HLOOKUP(B35,#REF!,55,FALSE)/1000</f>
        <v>#REF!</v>
      </c>
      <c r="L35" s="77">
        <v>1.0045525895395629E-2</v>
      </c>
      <c r="N35" s="77">
        <v>8.696328592634462E-3</v>
      </c>
      <c r="P35" s="77">
        <v>8.128343935638261E-3</v>
      </c>
    </row>
    <row r="36" spans="1:16" ht="19.5" hidden="1" x14ac:dyDescent="0.25">
      <c r="A36" s="18">
        <v>34</v>
      </c>
      <c r="B36" s="10" t="s">
        <v>86</v>
      </c>
      <c r="C36" s="14">
        <f>HLOOKUP(B36,[2]Result!$B$1:$AQ$16,3,FALSE)/1000+HLOOKUP(B36,[2]Result!$B$1:$AQ$16,10,FALSE)/1000</f>
        <v>460.89499999999998</v>
      </c>
      <c r="D36" s="14">
        <f>HLOOKUP(B36,[2]Result!$B$1:$AQ$16,4,FALSE)/1000+HLOOKUP(B36,[2]Result!$B$1:$AQ$16,11,FALSE)/1000</f>
        <v>397.36099999999999</v>
      </c>
      <c r="E36" s="15">
        <f>HLOOKUP(B36,[2]Result!$B$1:$AQ$16,5,FALSE)/1000+HLOOKUP(B36,[2]Result!$B$1:$AQ$16,12,FALSE)/1000</f>
        <v>410.16700000000003</v>
      </c>
      <c r="L36" s="77">
        <v>9.7056847211986919E-3</v>
      </c>
      <c r="N36" s="77">
        <v>8.6516974820722379E-3</v>
      </c>
      <c r="P36" s="77">
        <v>8.0598130762987805E-3</v>
      </c>
    </row>
    <row r="37" spans="1:16" ht="17.25" hidden="1" x14ac:dyDescent="0.25">
      <c r="A37" s="18">
        <v>35</v>
      </c>
      <c r="B37" s="10" t="s">
        <v>63</v>
      </c>
      <c r="C37" s="14">
        <f>HLOOKUP(B37,[2]Result!$B$1:$AO$16,3,FALSE)/1000+HLOOKUP(B37,[2]Result!$B$1:$AO$16,10,FALSE)/1000</f>
        <v>463.65899999999999</v>
      </c>
      <c r="D37" s="14">
        <f>HLOOKUP(B37,[2]Result!$B$1:$AO$16,4,FALSE)/1000+HLOOKUP(B37,[2]Result!$B$1:$AO$16,11,FALSE)/1000</f>
        <v>407.91</v>
      </c>
      <c r="E37" s="15">
        <f>HLOOKUP(B37,[2]Result!$B$1:$AO$16,5,FALSE)/1000+HLOOKUP(B37,[2]Result!$B$1:$AO$16,12,FALSE)/1000</f>
        <v>408.452</v>
      </c>
      <c r="L37" s="77">
        <v>9.2408806134944496E-3</v>
      </c>
      <c r="N37" s="77">
        <v>8.6159376760230923E-3</v>
      </c>
      <c r="P37" s="77">
        <v>7.8044147152876728E-3</v>
      </c>
    </row>
    <row r="38" spans="1:16" ht="18" hidden="1" x14ac:dyDescent="0.25">
      <c r="A38" s="18">
        <v>36</v>
      </c>
      <c r="B38" s="10" t="s">
        <v>54</v>
      </c>
      <c r="C38" s="14">
        <f>HLOOKUP(B38,[2]Result!$B$1:$AO$16,3,FALSE)/1000+HLOOKUP(B38,[2]Result!$B$1:$AO$16,10,FALSE)/1000</f>
        <v>320.69299999999998</v>
      </c>
      <c r="D38" s="14">
        <f>HLOOKUP(B38,[2]Result!$B$1:$AO$16,4,FALSE)/1000+HLOOKUP(B38,[2]Result!$B$1:$AO$16,11,FALSE)/1000</f>
        <v>334.43900000000002</v>
      </c>
      <c r="E38" s="15">
        <f>HLOOKUP(B38,[2]Result!$B$1:$AO$16,5,FALSE)/1000+HLOOKUP(B38,[2]Result!$B$1:$AO$16,12,FALSE)/1000</f>
        <v>395.45299999999997</v>
      </c>
      <c r="L38" s="77">
        <v>9.1054762805504522E-3</v>
      </c>
      <c r="N38" s="77">
        <v>8.4666674165137512E-3</v>
      </c>
      <c r="P38" s="77">
        <v>7.4982250409498614E-3</v>
      </c>
    </row>
    <row r="39" spans="1:16" ht="17.25" hidden="1" x14ac:dyDescent="0.25">
      <c r="A39" s="18">
        <v>37</v>
      </c>
      <c r="B39" s="10" t="s">
        <v>66</v>
      </c>
      <c r="C39" s="14">
        <f>HLOOKUP(B39,[2]Result!$B$1:$AO$16,3,FALSE)/1000+HLOOKUP(B39,[2]Result!$B$1:$AO$16,10,FALSE)/1000</f>
        <v>357.28100000000001</v>
      </c>
      <c r="D39" s="14">
        <f>HLOOKUP(B39,[2]Result!$B$1:$AO$16,4,FALSE)/1000+HLOOKUP(B39,[2]Result!$B$1:$AO$16,11,FALSE)/1000</f>
        <v>374.06900000000002</v>
      </c>
      <c r="E39" s="15">
        <f>HLOOKUP(B39,[2]Result!$B$1:$AO$16,5,FALSE)/1000+HLOOKUP(B39,[2]Result!$B$1:$AO$16,12,FALSE)/1000</f>
        <v>395.10199999999998</v>
      </c>
      <c r="L39" s="77">
        <v>8.4701266818810409E-3</v>
      </c>
      <c r="N39" s="77">
        <v>8.3931200776696125E-3</v>
      </c>
      <c r="P39" s="77">
        <v>7.4857781578421311E-3</v>
      </c>
    </row>
    <row r="40" spans="1:16" hidden="1" x14ac:dyDescent="0.25">
      <c r="A40" s="18">
        <v>38</v>
      </c>
      <c r="B40" s="8" t="s">
        <v>34</v>
      </c>
      <c r="C40" s="14" t="e">
        <f>HLOOKUP(B40,#REF!,11,FALSE)/1000+HLOOKUP(B40,#REF!,31,FALSE)/1000+HLOOKUP(B40,#REF!,42,FALSE)/1000+HLOOKUP(B40,#REF!,53,FALSE)/1000</f>
        <v>#REF!</v>
      </c>
      <c r="D40" s="14" t="e">
        <f>HLOOKUP(B40,#REF!,12,FALSE)/1000+HLOOKUP(B40,#REF!,32,FALSE)/1000+HLOOKUP(B40,#REF!,43,FALSE)/1000+HLOOKUP(B40,#REF!,54,FALSE)/1000</f>
        <v>#REF!</v>
      </c>
      <c r="E40" s="66" t="e">
        <f>HLOOKUP(B40,#REF!,13,FALSE)/1000+HLOOKUP(B40,#REF!,33,FALSE)/1000+HLOOKUP(B40,#REF!,44,FALSE)/1000+HLOOKUP(B40,#REF!,55,FALSE)/1000</f>
        <v>#REF!</v>
      </c>
      <c r="L40" s="77">
        <v>8.1730136918519766E-3</v>
      </c>
      <c r="N40" s="77">
        <v>7.9011428759586232E-3</v>
      </c>
      <c r="P40" s="77">
        <v>7.4544784444553897E-3</v>
      </c>
    </row>
    <row r="41" spans="1:16" hidden="1" x14ac:dyDescent="0.25">
      <c r="A41" s="18">
        <v>39</v>
      </c>
      <c r="B41" s="8" t="s">
        <v>24</v>
      </c>
      <c r="C41" s="14" t="e">
        <f>HLOOKUP(B41,#REF!,11,FALSE)/1000+HLOOKUP(B41,#REF!,31,FALSE)/1000+HLOOKUP(B41,#REF!,42,FALSE)/1000+HLOOKUP(B41,#REF!,53,FALSE)/1000</f>
        <v>#REF!</v>
      </c>
      <c r="D41" s="14" t="e">
        <f>HLOOKUP(B41,#REF!,12,FALSE)/1000+HLOOKUP(B41,#REF!,32,FALSE)/1000+HLOOKUP(B41,#REF!,43,FALSE)/1000+HLOOKUP(B41,#REF!,54,FALSE)/1000</f>
        <v>#REF!</v>
      </c>
      <c r="E41" s="66" t="e">
        <f>HLOOKUP(B41,#REF!,13,FALSE)/1000+HLOOKUP(B41,#REF!,33,FALSE)/1000+HLOOKUP(B41,#REF!,44,FALSE)/1000+HLOOKUP(B41,#REF!,55,FALSE)/1000</f>
        <v>#REF!</v>
      </c>
      <c r="L41" s="77">
        <v>8.0883764267085517E-3</v>
      </c>
      <c r="N41" s="77">
        <v>7.0870317096548849E-3</v>
      </c>
      <c r="P41" s="77">
        <v>7.2172393923771146E-3</v>
      </c>
    </row>
    <row r="42" spans="1:16" hidden="1" x14ac:dyDescent="0.25">
      <c r="A42" s="18">
        <v>40</v>
      </c>
      <c r="B42" s="8" t="s">
        <v>35</v>
      </c>
      <c r="C42" s="14" t="e">
        <f>HLOOKUP(B42,#REF!,11,FALSE)/1000+HLOOKUP(B42,#REF!,31,FALSE)/1000+HLOOKUP(B42,#REF!,42,FALSE)/1000+HLOOKUP(B42,#REF!,53,FALSE)/1000</f>
        <v>#REF!</v>
      </c>
      <c r="D42" s="14" t="e">
        <f>HLOOKUP(B42,#REF!,12,FALSE)/1000+HLOOKUP(B42,#REF!,32,FALSE)/1000+HLOOKUP(B42,#REF!,43,FALSE)/1000+HLOOKUP(B42,#REF!,54,FALSE)/1000</f>
        <v>#REF!</v>
      </c>
      <c r="E42" s="66" t="e">
        <f>HLOOKUP(B42,#REF!,13,FALSE)/1000+HLOOKUP(B42,#REF!,33,FALSE)/1000+HLOOKUP(B42,#REF!,44,FALSE)/1000+HLOOKUP(B42,#REF!,55,FALSE)/1000</f>
        <v>#REF!</v>
      </c>
      <c r="L42" s="77">
        <v>8.011180920499749E-3</v>
      </c>
      <c r="N42" s="77">
        <v>7.0793432457435515E-3</v>
      </c>
      <c r="P42" s="77">
        <v>7.2108334452058338E-3</v>
      </c>
    </row>
    <row r="43" spans="1:16" ht="17.25" hidden="1" x14ac:dyDescent="0.25">
      <c r="A43" s="18">
        <v>41</v>
      </c>
      <c r="B43" s="10" t="s">
        <v>60</v>
      </c>
      <c r="C43" s="14">
        <f>HLOOKUP(B43,[2]Result!$B$1:$AO$16,3,FALSE)/1000+HLOOKUP(B43,[2]Result!$B$1:$AO$16,10,FALSE)/1000</f>
        <v>332.35113000000001</v>
      </c>
      <c r="D43" s="14">
        <f>HLOOKUP(B43,[2]Result!$B$1:$AO$16,4,FALSE)/1000+HLOOKUP(B43,[2]Result!$B$1:$AO$16,11,FALSE)/1000</f>
        <v>328.19605000000001</v>
      </c>
      <c r="E43" s="15">
        <f>HLOOKUP(B43,[2]Result!$B$1:$AO$16,5,FALSE)/1000+HLOOKUP(B43,[2]Result!$B$1:$AO$16,12,FALSE)/1000</f>
        <v>328.20128</v>
      </c>
      <c r="L43" s="77">
        <v>6.6568827363017334E-3</v>
      </c>
      <c r="N43" s="77">
        <v>7.0640719286888948E-3</v>
      </c>
      <c r="P43" s="77">
        <v>6.3037075244043433E-3</v>
      </c>
    </row>
    <row r="44" spans="1:16" hidden="1" x14ac:dyDescent="0.25">
      <c r="A44" s="18">
        <v>42</v>
      </c>
      <c r="B44" s="8" t="s">
        <v>43</v>
      </c>
      <c r="C44" s="14" t="e">
        <f>HLOOKUP(B44,#REF!,11,FALSE)/1000+HLOOKUP(B44,#REF!,31,FALSE)/1000+HLOOKUP(B44,#REF!,42,FALSE)/1000+HLOOKUP(B44,#REF!,53,FALSE)/1000</f>
        <v>#REF!</v>
      </c>
      <c r="D44" s="14" t="e">
        <f>HLOOKUP(B44,#REF!,12,FALSE)/1000+HLOOKUP(B44,#REF!,32,FALSE)/1000+HLOOKUP(B44,#REF!,43,FALSE)/1000+HLOOKUP(B44,#REF!,54,FALSE)/1000</f>
        <v>#REF!</v>
      </c>
      <c r="E44" s="66" t="e">
        <f>HLOOKUP(B44,#REF!,13,FALSE)/1000+HLOOKUP(B44,#REF!,33,FALSE)/1000+HLOOKUP(B44,#REF!,44,FALSE)/1000+HLOOKUP(B44,#REF!,55,FALSE)/1000</f>
        <v>#REF!</v>
      </c>
      <c r="L44" s="77">
        <v>6.6375902311184851E-3</v>
      </c>
      <c r="N44" s="77">
        <v>6.9322073798557494E-3</v>
      </c>
      <c r="P44" s="77">
        <v>5.9898577242923721E-3</v>
      </c>
    </row>
    <row r="45" spans="1:16" ht="17.25" hidden="1" x14ac:dyDescent="0.25">
      <c r="A45" s="18">
        <v>43</v>
      </c>
      <c r="B45" s="10" t="s">
        <v>49</v>
      </c>
      <c r="C45" s="14">
        <f>HLOOKUP(B45,[2]Result!$B$1:$AO$16,3,FALSE)/1000+HLOOKUP(B45,[2]Result!$B$1:$AO$16,10,FALSE)/1000</f>
        <v>248.898</v>
      </c>
      <c r="D45" s="14">
        <f>HLOOKUP(B45,[2]Result!$B$1:$AO$16,4,FALSE)/1000+HLOOKUP(B45,[2]Result!$B$1:$AO$16,11,FALSE)/1000</f>
        <v>266.43099999999998</v>
      </c>
      <c r="E45" s="15">
        <f>HLOOKUP(B45,[2]Result!$B$1:$AO$16,5,FALSE)/1000+HLOOKUP(B45,[2]Result!$B$1:$AO$16,12,FALSE)/1000</f>
        <v>305.58300000000003</v>
      </c>
      <c r="L45" s="77">
        <v>6.3432839565396608E-3</v>
      </c>
      <c r="N45" s="77">
        <v>5.8553778109356018E-3</v>
      </c>
      <c r="P45" s="77">
        <v>5.7807194271387811E-3</v>
      </c>
    </row>
    <row r="46" spans="1:16" hidden="1" x14ac:dyDescent="0.25">
      <c r="A46" s="18">
        <v>44</v>
      </c>
      <c r="B46" s="8" t="s">
        <v>38</v>
      </c>
      <c r="C46" s="14" t="e">
        <f>HLOOKUP(B46,#REF!,11,FALSE)/1000+HLOOKUP(B46,#REF!,31,FALSE)/1000+HLOOKUP(B46,#REF!,42,FALSE)/1000+HLOOKUP(B46,#REF!,53,FALSE)/1000</f>
        <v>#REF!</v>
      </c>
      <c r="D46" s="14" t="e">
        <f>HLOOKUP(B46,#REF!,12,FALSE)/1000+HLOOKUP(B46,#REF!,32,FALSE)/1000+HLOOKUP(B46,#REF!,43,FALSE)/1000+HLOOKUP(B46,#REF!,54,FALSE)/1000</f>
        <v>#REF!</v>
      </c>
      <c r="E46" s="66" t="e">
        <f>HLOOKUP(B46,#REF!,13,FALSE)/1000+HLOOKUP(B46,#REF!,33,FALSE)/1000+HLOOKUP(B46,#REF!,44,FALSE)/1000+HLOOKUP(B46,#REF!,55,FALSE)/1000</f>
        <v>#REF!</v>
      </c>
      <c r="L46" s="77">
        <v>6.263820242984346E-3</v>
      </c>
      <c r="N46" s="77">
        <v>5.6275965064855197E-3</v>
      </c>
      <c r="P46" s="77">
        <v>5.577061408664939E-3</v>
      </c>
    </row>
    <row r="47" spans="1:16" ht="17.25" hidden="1" x14ac:dyDescent="0.25">
      <c r="A47" s="18">
        <v>45</v>
      </c>
      <c r="B47" s="10" t="s">
        <v>52</v>
      </c>
      <c r="C47" s="14">
        <f>HLOOKUP(B47,[2]Result!$B$1:$AO$16,3,FALSE)/1000+HLOOKUP(B47,[2]Result!$B$1:$AO$16,10,FALSE)/1000</f>
        <v>161.25900000000001</v>
      </c>
      <c r="D47" s="14">
        <f>HLOOKUP(B47,[2]Result!$B$1:$AO$16,4,FALSE)/1000+HLOOKUP(B47,[2]Result!$B$1:$AO$16,11,FALSE)/1000</f>
        <v>160.95599999999999</v>
      </c>
      <c r="E47" s="15">
        <f>HLOOKUP(B47,[2]Result!$B$1:$AO$16,5,FALSE)/1000+HLOOKUP(B47,[2]Result!$B$1:$AO$16,12,FALSE)/1000</f>
        <v>282.54899999999998</v>
      </c>
      <c r="L47" s="77">
        <v>5.5095775865797499E-3</v>
      </c>
      <c r="N47" s="77">
        <v>5.3351391677043782E-3</v>
      </c>
      <c r="P47" s="77">
        <v>5.4956456527359299E-3</v>
      </c>
    </row>
    <row r="48" spans="1:16" ht="18" hidden="1" x14ac:dyDescent="0.25">
      <c r="A48" s="18">
        <v>46</v>
      </c>
      <c r="B48" s="10" t="s">
        <v>79</v>
      </c>
      <c r="C48" s="14">
        <f>HLOOKUP(B48,[2]Result!$B$1:$AO$16,3,FALSE)/1000+HLOOKUP(B48,[2]Result!$B$1:$AO$16,10,FALSE)/1000</f>
        <v>180.73699999999999</v>
      </c>
      <c r="D48" s="14">
        <f>HLOOKUP(B48,[2]Result!$B$1:$AO$16,4,FALSE)/1000+HLOOKUP(B48,[2]Result!$B$1:$AO$16,11,FALSE)/1000</f>
        <v>223.67099999999999</v>
      </c>
      <c r="E48" s="15">
        <f>HLOOKUP(B48,[2]Result!$B$1:$AO$16,5,FALSE)/1000+HLOOKUP(B48,[2]Result!$B$1:$AO$16,12,FALSE)/1000</f>
        <v>279.86700000000002</v>
      </c>
      <c r="L48" s="77">
        <v>5.4823873872997522E-3</v>
      </c>
      <c r="N48" s="77">
        <v>4.9036718667478775E-3</v>
      </c>
      <c r="P48" s="77">
        <v>5.1566779695103116E-3</v>
      </c>
    </row>
    <row r="49" spans="1:16" ht="18" hidden="1" x14ac:dyDescent="0.25">
      <c r="A49" s="18">
        <v>47</v>
      </c>
      <c r="B49" s="10" t="s">
        <v>56</v>
      </c>
      <c r="C49" s="14">
        <f>HLOOKUP(B49,[2]Result!$B$1:$AO$16,3,FALSE)/1000+HLOOKUP(B49,[2]Result!$B$1:$AO$16,10,FALSE)/1000</f>
        <v>260.44600000000003</v>
      </c>
      <c r="D49" s="14">
        <f>HLOOKUP(B49,[2]Result!$B$1:$AO$16,4,FALSE)/1000+HLOOKUP(B49,[2]Result!$B$1:$AO$16,11,FALSE)/1000</f>
        <v>277.21499999999997</v>
      </c>
      <c r="E49" s="15">
        <f>HLOOKUP(B49,[2]Result!$B$1:$AO$16,5,FALSE)/1000+HLOOKUP(B49,[2]Result!$B$1:$AO$16,12,FALSE)/1000</f>
        <v>279.50099999999998</v>
      </c>
      <c r="L49" s="77">
        <v>5.2537034095126054E-3</v>
      </c>
      <c r="N49" s="77">
        <v>4.7244132184397561E-3</v>
      </c>
      <c r="P49" s="77">
        <v>5.1077299629195029E-3</v>
      </c>
    </row>
    <row r="50" spans="1:16" ht="18" hidden="1" x14ac:dyDescent="0.25">
      <c r="A50" s="18">
        <v>48</v>
      </c>
      <c r="B50" s="10" t="s">
        <v>72</v>
      </c>
      <c r="C50" s="14">
        <f>HLOOKUP(B50,[2]Result!$B$1:$AO$16,3,FALSE)/1000+HLOOKUP(B50,[2]Result!$B$1:$AO$16,10,FALSE)/1000</f>
        <v>206.14500000000001</v>
      </c>
      <c r="D50" s="14">
        <f>HLOOKUP(B50,[2]Result!$B$1:$AO$16,4,FALSE)/1000+HLOOKUP(B50,[2]Result!$B$1:$AO$16,11,FALSE)/1000</f>
        <v>192.04499999999999</v>
      </c>
      <c r="E50" s="15">
        <f>HLOOKUP(B50,[2]Result!$B$1:$AO$16,5,FALSE)/1000+HLOOKUP(B50,[2]Result!$B$1:$AO$16,12,FALSE)/1000</f>
        <v>252.55199999999999</v>
      </c>
      <c r="L50" s="77">
        <v>4.6061684402972647E-3</v>
      </c>
      <c r="N50" s="77">
        <v>4.0564039886049732E-3</v>
      </c>
      <c r="P50" s="77">
        <v>5.1010502573220987E-3</v>
      </c>
    </row>
    <row r="51" spans="1:16" ht="17.25" hidden="1" x14ac:dyDescent="0.25">
      <c r="A51" s="18">
        <v>49</v>
      </c>
      <c r="B51" s="10" t="s">
        <v>74</v>
      </c>
      <c r="C51" s="14">
        <f>HLOOKUP(B51,[2]Result!$B$1:$AO$16,3,FALSE)/1000+HLOOKUP(B51,[2]Result!$B$1:$AO$16,10,FALSE)/1000</f>
        <v>245.78</v>
      </c>
      <c r="D51" s="14">
        <f>HLOOKUP(B51,[2]Result!$B$1:$AO$16,4,FALSE)/1000+HLOOKUP(B51,[2]Result!$B$1:$AO$16,11,FALSE)/1000</f>
        <v>252.58500000000001</v>
      </c>
      <c r="E51" s="15">
        <f>HLOOKUP(B51,[2]Result!$B$1:$AO$16,5,FALSE)/1000+HLOOKUP(B51,[2]Result!$B$1:$AO$16,12,FALSE)/1000</f>
        <v>262.57299999999998</v>
      </c>
      <c r="L51" s="77">
        <v>4.5242046015656267E-3</v>
      </c>
      <c r="N51" s="77">
        <v>4.0290191164592459E-3</v>
      </c>
      <c r="P51" s="77">
        <v>4.7921047481613134E-3</v>
      </c>
    </row>
    <row r="52" spans="1:16" ht="18" hidden="1" x14ac:dyDescent="0.25">
      <c r="A52" s="18">
        <v>50</v>
      </c>
      <c r="B52" s="10" t="s">
        <v>78</v>
      </c>
      <c r="C52" s="14">
        <f>HLOOKUP(B52,[2]Result!$B$1:$AO$16,3,FALSE)/1000+HLOOKUP(B52,[2]Result!$B$1:$AO$16,10,FALSE)/1000</f>
        <v>167.39600000000002</v>
      </c>
      <c r="D52" s="14">
        <f>HLOOKUP(B52,[2]Result!$B$1:$AO$16,4,FALSE)/1000+HLOOKUP(B52,[2]Result!$B$1:$AO$16,11,FALSE)/1000</f>
        <v>167.64899999999997</v>
      </c>
      <c r="E52" s="15">
        <f>HLOOKUP(B52,[2]Result!$B$1:$AO$16,5,FALSE)/1000+HLOOKUP(B52,[2]Result!$B$1:$AO$16,12,FALSE)/1000</f>
        <v>221.54</v>
      </c>
      <c r="L52" s="77">
        <v>4.2661667076027655E-3</v>
      </c>
      <c r="N52" s="77">
        <v>4.0068302940997492E-3</v>
      </c>
      <c r="P52" s="77">
        <v>4.6092158689493446E-3</v>
      </c>
    </row>
    <row r="53" spans="1:16" ht="17.25" hidden="1" x14ac:dyDescent="0.25">
      <c r="A53" s="18">
        <v>51</v>
      </c>
      <c r="B53" s="10" t="s">
        <v>50</v>
      </c>
      <c r="C53" s="14">
        <f>HLOOKUP(B53,[2]Result!$B$1:$AO$16,3,FALSE)/1000+HLOOKUP(B53,[2]Result!$B$1:$AO$16,10,FALSE)/1000</f>
        <v>215.11810999999997</v>
      </c>
      <c r="D53" s="14">
        <f>HLOOKUP(B53,[2]Result!$B$1:$AO$16,4,FALSE)/1000+HLOOKUP(B53,[2]Result!$B$1:$AO$16,11,FALSE)/1000</f>
        <v>232.15776</v>
      </c>
      <c r="E53" s="15">
        <f>HLOOKUP(B53,[2]Result!$B$1:$AO$16,5,FALSE)/1000+HLOOKUP(B53,[2]Result!$B$1:$AO$16,12,FALSE)/1000</f>
        <v>206.2415</v>
      </c>
      <c r="L53" s="77">
        <v>4.1543782359573234E-3</v>
      </c>
      <c r="N53" s="77">
        <v>3.8047941490112272E-3</v>
      </c>
      <c r="P53" s="77">
        <v>4.0432294482207138E-3</v>
      </c>
    </row>
    <row r="54" spans="1:16" ht="17.25" hidden="1" x14ac:dyDescent="0.25">
      <c r="A54" s="18">
        <v>52</v>
      </c>
      <c r="B54" s="10" t="s">
        <v>62</v>
      </c>
      <c r="C54" s="14">
        <f>HLOOKUP(B54,[2]Result!$B$1:$AO$16,3,FALSE)/1000+HLOOKUP(B54,[2]Result!$B$1:$AO$16,10,FALSE)/1000</f>
        <v>163.00964000000002</v>
      </c>
      <c r="D54" s="14">
        <f>HLOOKUP(B54,[2]Result!$B$1:$AO$16,4,FALSE)/1000+HLOOKUP(B54,[2]Result!$B$1:$AO$16,11,FALSE)/1000</f>
        <v>180.13287</v>
      </c>
      <c r="E54" s="15">
        <f>HLOOKUP(B54,[2]Result!$B$1:$AO$16,5,FALSE)/1000+HLOOKUP(B54,[2]Result!$B$1:$AO$16,12,FALSE)/1000</f>
        <v>183.64951000000002</v>
      </c>
      <c r="L54" s="77">
        <v>4.1097623425966831E-3</v>
      </c>
      <c r="N54" s="77">
        <v>3.5751357187704851E-3</v>
      </c>
      <c r="P54" s="77">
        <v>3.7640232294177682E-3</v>
      </c>
    </row>
    <row r="55" spans="1:16" ht="18" hidden="1" x14ac:dyDescent="0.25">
      <c r="A55" s="18">
        <v>53</v>
      </c>
      <c r="B55" s="10" t="s">
        <v>58</v>
      </c>
      <c r="C55" s="14">
        <f>HLOOKUP(B55,[2]Result!$B$1:$AO$16,3,FALSE)/1000+HLOOKUP(B55,[2]Result!$B$1:$AO$16,10,FALSE)/1000</f>
        <v>177.52089999999998</v>
      </c>
      <c r="D55" s="14">
        <f>HLOOKUP(B55,[2]Result!$B$1:$AO$16,4,FALSE)/1000+HLOOKUP(B55,[2]Result!$B$1:$AO$16,11,FALSE)/1000</f>
        <v>190.74850000000001</v>
      </c>
      <c r="E55" s="15">
        <f>HLOOKUP(B55,[2]Result!$B$1:$AO$16,5,FALSE)/1000+HLOOKUP(B55,[2]Result!$B$1:$AO$16,12,FALSE)/1000</f>
        <v>200.5436</v>
      </c>
      <c r="L55" s="77">
        <v>3.524157079583849E-3</v>
      </c>
      <c r="N55" s="77">
        <v>3.5411079293167494E-3</v>
      </c>
      <c r="P55" s="77">
        <v>3.6600333536706488E-3</v>
      </c>
    </row>
    <row r="56" spans="1:16" ht="16.5" hidden="1" x14ac:dyDescent="0.25">
      <c r="A56" s="18">
        <v>54</v>
      </c>
      <c r="B56" s="10" t="s">
        <v>70</v>
      </c>
      <c r="C56" s="14">
        <f>HLOOKUP(B56,[2]Result!$B$1:$AO$16,3,FALSE)/1000+HLOOKUP(B56,[2]Result!$B$1:$AO$16,10,FALSE)/1000</f>
        <v>138.28100000000001</v>
      </c>
      <c r="D56" s="14">
        <f>HLOOKUP(B56,[2]Result!$B$1:$AO$16,4,FALSE)/1000+HLOOKUP(B56,[2]Result!$B$1:$AO$16,11,FALSE)/1000</f>
        <v>169.26</v>
      </c>
      <c r="E56" s="15">
        <f>HLOOKUP(B56,[2]Result!$B$1:$AO$16,5,FALSE)/1000+HLOOKUP(B56,[2]Result!$B$1:$AO$16,12,FALSE)/1000</f>
        <v>199.97499999999999</v>
      </c>
      <c r="L56" s="77">
        <v>3.4654571477299207E-3</v>
      </c>
      <c r="N56" s="77">
        <v>3.3997373552547686E-3</v>
      </c>
      <c r="P56" s="77">
        <v>3.6496560842644095E-3</v>
      </c>
    </row>
    <row r="57" spans="1:16" ht="17.25" hidden="1" x14ac:dyDescent="0.25">
      <c r="A57" s="18">
        <v>55</v>
      </c>
      <c r="B57" s="10" t="s">
        <v>57</v>
      </c>
      <c r="C57" s="14">
        <f>HLOOKUP(B57,[2]Result!$B$1:$AO$16,3,FALSE)/1000+HLOOKUP(B57,[2]Result!$B$1:$AO$16,10,FALSE)/1000</f>
        <v>135.97773000000001</v>
      </c>
      <c r="D57" s="14">
        <f>HLOOKUP(B57,[2]Result!$B$1:$AO$16,4,FALSE)/1000+HLOOKUP(B57,[2]Result!$B$1:$AO$16,11,FALSE)/1000</f>
        <v>152.31223</v>
      </c>
      <c r="E57" s="15">
        <f>HLOOKUP(B57,[2]Result!$B$1:$AO$16,5,FALSE)/1000+HLOOKUP(B57,[2]Result!$B$1:$AO$16,12,FALSE)/1000</f>
        <v>189.07205999999999</v>
      </c>
      <c r="L57" s="77">
        <v>2.9337095761683501E-3</v>
      </c>
      <c r="N57" s="77">
        <v>3.2171623176095085E-3</v>
      </c>
      <c r="P57" s="77">
        <v>3.4506713046301061E-3</v>
      </c>
    </row>
    <row r="58" spans="1:16" ht="18" hidden="1" x14ac:dyDescent="0.25">
      <c r="A58" s="18">
        <v>56</v>
      </c>
      <c r="B58" s="10" t="s">
        <v>65</v>
      </c>
      <c r="C58" s="14">
        <f>HLOOKUP(B58,[2]Result!$B$1:$AO$16,3,FALSE)/1000+HLOOKUP(B58,[2]Result!$B$1:$AO$16,10,FALSE)/1000</f>
        <v>88.415000000000006</v>
      </c>
      <c r="D58" s="14">
        <f>HLOOKUP(B58,[2]Result!$B$1:$AO$16,4,FALSE)/1000+HLOOKUP(B58,[2]Result!$B$1:$AO$16,11,FALSE)/1000</f>
        <v>139.83799999999999</v>
      </c>
      <c r="E58" s="15">
        <f>HLOOKUP(B58,[2]Result!$B$1:$AO$16,5,FALSE)/1000+HLOOKUP(B58,[2]Result!$B$1:$AO$16,12,FALSE)/1000</f>
        <v>172.869</v>
      </c>
      <c r="L58" s="77">
        <v>2.6498268611931581E-3</v>
      </c>
      <c r="N58" s="77">
        <v>2.9536797154757597E-3</v>
      </c>
      <c r="P58" s="77">
        <v>3.3517067210585205E-3</v>
      </c>
    </row>
    <row r="59" spans="1:16" ht="18" hidden="1" x14ac:dyDescent="0.25">
      <c r="A59" s="18">
        <v>57</v>
      </c>
      <c r="B59" s="10" t="s">
        <v>61</v>
      </c>
      <c r="C59" s="14">
        <f>HLOOKUP(B59,[2]Result!$B$1:$AO$16,3,FALSE)/1000+HLOOKUP(B59,[2]Result!$B$1:$AO$16,10,FALSE)/1000</f>
        <v>115.113</v>
      </c>
      <c r="D59" s="14">
        <f>HLOOKUP(B59,[2]Result!$B$1:$AO$16,4,FALSE)/1000+HLOOKUP(B59,[2]Result!$B$1:$AO$16,11,FALSE)/1000</f>
        <v>121.25328999999999</v>
      </c>
      <c r="E59" s="15">
        <f>HLOOKUP(B59,[2]Result!$B$1:$AO$16,5,FALSE)/1000+HLOOKUP(B59,[2]Result!$B$1:$AO$16,12,FALSE)/1000</f>
        <v>127.58982</v>
      </c>
      <c r="L59" s="77">
        <v>2.2956134077715944E-3</v>
      </c>
      <c r="N59" s="77">
        <v>2.6537028900121035E-3</v>
      </c>
      <c r="P59" s="77">
        <v>3.1549563576982334E-3</v>
      </c>
    </row>
    <row r="60" spans="1:16" ht="16.5" hidden="1" x14ac:dyDescent="0.25">
      <c r="A60" s="18">
        <v>58</v>
      </c>
      <c r="B60" s="10" t="s">
        <v>85</v>
      </c>
      <c r="C60" s="14">
        <f>HLOOKUP(B60,[2]Result!$B$1:$AQ$16,3,FALSE)/1000+HLOOKUP(B60,[2]Result!$B$1:$AQ$16,10,FALSE)/1000</f>
        <v>85.987160000000003</v>
      </c>
      <c r="D60" s="14">
        <f>HLOOKUP(B60,[2]Result!$B$1:$AQ$16,4,FALSE)/1000+HLOOKUP(B60,[2]Result!$B$1:$AQ$16,11,FALSE)/1000</f>
        <v>110.97563000000001</v>
      </c>
      <c r="E60" s="15">
        <f>HLOOKUP(B60,[2]Result!$B$1:$AQ$16,5,FALSE)/1000+HLOOKUP(B60,[2]Result!$B$1:$AQ$16,12,FALSE)/1000</f>
        <v>104.62194000000001</v>
      </c>
      <c r="L60" s="77">
        <v>2.2532983431664943E-3</v>
      </c>
      <c r="N60" s="77">
        <v>2.5611306161965972E-3</v>
      </c>
      <c r="P60" s="77">
        <v>2.3285858875019419E-3</v>
      </c>
    </row>
    <row r="61" spans="1:16" ht="18" hidden="1" x14ac:dyDescent="0.25">
      <c r="A61" s="18">
        <v>59</v>
      </c>
      <c r="B61" s="10" t="s">
        <v>68</v>
      </c>
      <c r="C61" s="14">
        <f>HLOOKUP(B61,[2]Result!$B$1:$AO$16,3,FALSE)/1000+HLOOKUP(B61,[2]Result!$B$1:$AO$16,10,FALSE)/1000</f>
        <v>90.075360000000003</v>
      </c>
      <c r="D61" s="14">
        <f>HLOOKUP(B61,[2]Result!$B$1:$AO$16,4,FALSE)/1000+HLOOKUP(B61,[2]Result!$B$1:$AO$16,11,FALSE)/1000</f>
        <v>102.57114</v>
      </c>
      <c r="E61" s="15">
        <f>HLOOKUP(B61,[2]Result!$B$1:$AO$16,5,FALSE)/1000+HLOOKUP(B61,[2]Result!$B$1:$AO$16,12,FALSE)/1000</f>
        <v>105.87039</v>
      </c>
      <c r="L61" s="77">
        <v>2.1914236855917237E-3</v>
      </c>
      <c r="N61" s="77">
        <v>2.344044303001639E-3</v>
      </c>
      <c r="P61" s="77">
        <v>1.9321940892958916E-3</v>
      </c>
    </row>
    <row r="62" spans="1:16" ht="18" hidden="1" x14ac:dyDescent="0.25">
      <c r="A62" s="18">
        <v>60</v>
      </c>
      <c r="B62" s="10" t="s">
        <v>55</v>
      </c>
      <c r="C62" s="14">
        <f>HLOOKUP(B62,[2]Result!$B$1:$AO$16,3,FALSE)/1000+HLOOKUP(B62,[2]Result!$B$1:$AO$16,10,FALSE)/1000</f>
        <v>64.868769999999998</v>
      </c>
      <c r="D62" s="14">
        <f>HLOOKUP(B62,[2]Result!$B$1:$AO$16,4,FALSE)/1000+HLOOKUP(B62,[2]Result!$B$1:$AO$16,11,FALSE)/1000</f>
        <v>69.107470000000006</v>
      </c>
      <c r="E62" s="15">
        <f>HLOOKUP(B62,[2]Result!$B$1:$AO$16,5,FALSE)/1000+HLOOKUP(B62,[2]Result!$B$1:$AO$16,12,FALSE)/1000</f>
        <v>70.476259999999996</v>
      </c>
      <c r="L62" s="77">
        <v>1.7328339563074074E-3</v>
      </c>
      <c r="N62" s="77">
        <v>2.1665233742704008E-3</v>
      </c>
      <c r="P62" s="77">
        <v>1.9094091754896664E-3</v>
      </c>
    </row>
    <row r="63" spans="1:16" ht="17.25" hidden="1" x14ac:dyDescent="0.25">
      <c r="A63" s="18">
        <v>61</v>
      </c>
      <c r="B63" s="10" t="s">
        <v>76</v>
      </c>
      <c r="C63" s="14">
        <f>HLOOKUP(B63,[2]Result!$B$1:$AO$16,3,FALSE)/1000+HLOOKUP(B63,[2]Result!$B$1:$AO$16,10,FALSE)/1000</f>
        <v>67.992999999999995</v>
      </c>
      <c r="D63" s="14">
        <f>HLOOKUP(B63,[2]Result!$B$1:$AO$16,4,FALSE)/1000+HLOOKUP(B63,[2]Result!$B$1:$AO$16,11,FALSE)/1000</f>
        <v>71.536000000000001</v>
      </c>
      <c r="E63" s="15">
        <f>HLOOKUP(B63,[2]Result!$B$1:$AO$16,5,FALSE)/1000+HLOOKUP(B63,[2]Result!$B$1:$AO$16,12,FALSE)/1000</f>
        <v>67.665000000000006</v>
      </c>
      <c r="L63" s="77">
        <v>1.6532114682378373E-3</v>
      </c>
      <c r="N63" s="77">
        <v>1.5109943801132307E-3</v>
      </c>
      <c r="P63" s="77">
        <v>1.2862313344428075E-3</v>
      </c>
    </row>
    <row r="64" spans="1:16" ht="17.25" hidden="1" x14ac:dyDescent="0.25">
      <c r="A64" s="18">
        <v>62</v>
      </c>
      <c r="B64" s="10" t="s">
        <v>77</v>
      </c>
      <c r="C64" s="14">
        <f>HLOOKUP(B64,[2]Result!$B$1:$AO$16,3,FALSE)/1000+HLOOKUP(B64,[2]Result!$B$1:$AO$16,10,FALSE)/1000</f>
        <v>53.201999999999998</v>
      </c>
      <c r="D64" s="107">
        <f>HLOOKUP(B64,[2]Result!$B$1:$AO$16,4,FALSE)/1000+HLOOKUP(B64,[2]Result!$B$1:$AO$16,11,FALSE)/1000</f>
        <v>66.576999999999998</v>
      </c>
      <c r="E64" s="108">
        <f>HLOOKUP(B64,[2]Result!$B$1:$AO$16,5,FALSE)/1000+HLOOKUP(B64,[2]Result!$B$1:$AO$16,12,FALSE)/1000</f>
        <v>63.335000000000001</v>
      </c>
      <c r="F64" s="109"/>
      <c r="L64" s="77">
        <v>1.4409233164541133E-3</v>
      </c>
      <c r="N64" s="77">
        <v>1.4596985964247888E-3</v>
      </c>
      <c r="P64" s="77">
        <v>1.2349242602412867E-3</v>
      </c>
    </row>
    <row r="65" spans="1:16" ht="18.75" hidden="1" x14ac:dyDescent="0.25">
      <c r="A65" s="18">
        <v>63</v>
      </c>
      <c r="B65" s="10" t="s">
        <v>64</v>
      </c>
      <c r="C65" s="14">
        <f>HLOOKUP(B65,[2]Result!$B$1:$AO$16,3,FALSE)/1000+HLOOKUP(B65,[2]Result!$B$1:$AO$16,10,FALSE)/1000</f>
        <v>33.173070000000003</v>
      </c>
      <c r="D65" s="107">
        <f>HLOOKUP(B65,[2]Result!$B$1:$AO$16,4,FALSE)/1000+HLOOKUP(B65,[2]Result!$B$1:$AO$16,11,FALSE)/1000</f>
        <v>45.492239999999995</v>
      </c>
      <c r="E65" s="108">
        <f>HLOOKUP(B65,[2]Result!$B$1:$AO$16,5,FALSE)/1000+HLOOKUP(B65,[2]Result!$B$1:$AO$16,12,FALSE)/1000</f>
        <v>60.374209999999998</v>
      </c>
      <c r="F65" s="109"/>
      <c r="L65" s="77">
        <v>1.3558782836978322E-3</v>
      </c>
      <c r="N65" s="77">
        <v>1.406249620398101E-3</v>
      </c>
      <c r="P65" s="77">
        <v>1.1558993279004194E-3</v>
      </c>
    </row>
    <row r="66" spans="1:16" hidden="1" x14ac:dyDescent="0.25">
      <c r="A66" s="18">
        <v>64</v>
      </c>
      <c r="B66" s="8" t="s">
        <v>17</v>
      </c>
      <c r="C66" s="14" t="e">
        <f>HLOOKUP(B66,#REF!,11,FALSE)/1000+HLOOKUP(B66,#REF!,31,FALSE)/1000+HLOOKUP(B66,#REF!,42,FALSE)/1000+HLOOKUP(B66,#REF!,53,FALSE)/1000</f>
        <v>#REF!</v>
      </c>
      <c r="D66" s="107" t="e">
        <f>HLOOKUP(B66,#REF!,12,FALSE)/1000+HLOOKUP(B66,#REF!,32,FALSE)/1000+HLOOKUP(B66,#REF!,43,FALSE)/1000+HLOOKUP(B66,#REF!,54,FALSE)/1000</f>
        <v>#REF!</v>
      </c>
      <c r="E66" s="108" t="e">
        <f>HLOOKUP(B66,#REF!,13,FALSE)/1000+HLOOKUP(B66,#REF!,33,FALSE)/1000+HLOOKUP(B66,#REF!,44,FALSE)/1000+HLOOKUP(B66,#REF!,55,FALSE)/1000</f>
        <v>#REF!</v>
      </c>
      <c r="F66" s="109"/>
      <c r="L66" s="77">
        <v>1.3138272486220564E-3</v>
      </c>
      <c r="N66" s="77">
        <v>9.6089408100484108E-4</v>
      </c>
      <c r="P66" s="77">
        <v>1.101863247201686E-3</v>
      </c>
    </row>
    <row r="67" spans="1:16" ht="17.25" hidden="1" x14ac:dyDescent="0.25">
      <c r="A67" s="18">
        <v>65</v>
      </c>
      <c r="B67" s="10" t="s">
        <v>81</v>
      </c>
      <c r="C67" s="14">
        <f>HLOOKUP(B67,[2]Result!$B$1:$AO$16,3,FALSE)/1000+HLOOKUP(B67,[2]Result!$B$1:$AO$16,10,FALSE)/1000</f>
        <v>32.255000000000003</v>
      </c>
      <c r="D67" s="107">
        <f>HLOOKUP(B67,[2]Result!$B$1:$AO$16,4,FALSE)/1000+HLOOKUP(B67,[2]Result!$B$1:$AO$16,11,FALSE)/1000</f>
        <v>33.284999999999997</v>
      </c>
      <c r="E67" s="108">
        <f>HLOOKUP(B67,[2]Result!$B$1:$AO$16,5,FALSE)/1000+HLOOKUP(B67,[2]Result!$B$1:$AO$16,12,FALSE)/1000</f>
        <v>28.347999999999999</v>
      </c>
      <c r="F67" s="109"/>
      <c r="L67" s="77">
        <v>8.4543147281282752E-4</v>
      </c>
      <c r="N67" s="77">
        <v>7.0305088266144154E-4</v>
      </c>
      <c r="P67" s="77">
        <v>7.7141474369140175E-4</v>
      </c>
    </row>
    <row r="68" spans="1:16" hidden="1" x14ac:dyDescent="0.25">
      <c r="A68" s="18">
        <v>66</v>
      </c>
      <c r="B68" s="8" t="s">
        <v>16</v>
      </c>
      <c r="C68" s="14" t="e">
        <f>HLOOKUP(B68,#REF!,11,FALSE)/1000+HLOOKUP(B68,#REF!,31,FALSE)/1000+HLOOKUP(B68,#REF!,42,FALSE)/1000+HLOOKUP(B68,#REF!,53,FALSE)/1000</f>
        <v>#REF!</v>
      </c>
      <c r="D68" s="107" t="e">
        <f>HLOOKUP(B68,#REF!,12,FALSE)/1000+HLOOKUP(B68,#REF!,32,FALSE)/1000+HLOOKUP(B68,#REF!,43,FALSE)/1000+HLOOKUP(B68,#REF!,54,FALSE)/1000</f>
        <v>#REF!</v>
      </c>
      <c r="E68" s="108" t="e">
        <f>HLOOKUP(B68,#REF!,13,FALSE)/1000+HLOOKUP(B68,#REF!,33,FALSE)/1000+HLOOKUP(B68,#REF!,44,FALSE)/1000+HLOOKUP(B68,#REF!,55,FALSE)/1000</f>
        <v>#REF!</v>
      </c>
      <c r="F68" s="109"/>
      <c r="L68" s="77">
        <v>8.2203402204190782E-4</v>
      </c>
      <c r="N68" s="77">
        <v>6.9479212060283779E-4</v>
      </c>
      <c r="P68" s="77">
        <v>5.1736692424916852E-4</v>
      </c>
    </row>
    <row r="69" spans="1:16" hidden="1" x14ac:dyDescent="0.25">
      <c r="A69" s="18">
        <v>67</v>
      </c>
      <c r="B69" s="8" t="s">
        <v>37</v>
      </c>
      <c r="C69" s="14" t="e">
        <f>HLOOKUP(B69,#REF!,11,FALSE)/1000+HLOOKUP(B69,#REF!,31,FALSE)/1000+HLOOKUP(B69,#REF!,42,FALSE)/1000+HLOOKUP(B69,#REF!,53,FALSE)/1000</f>
        <v>#REF!</v>
      </c>
      <c r="D69" s="107" t="e">
        <f>HLOOKUP(B69,#REF!,12,FALSE)/1000+HLOOKUP(B69,#REF!,32,FALSE)/1000+HLOOKUP(B69,#REF!,43,FALSE)/1000+HLOOKUP(B69,#REF!,54,FALSE)/1000</f>
        <v>#REF!</v>
      </c>
      <c r="E69" s="108" t="e">
        <f>HLOOKUP(B69,#REF!,13,FALSE)/1000+HLOOKUP(B69,#REF!,33,FALSE)/1000+HLOOKUP(B69,#REF!,44,FALSE)/1000+HLOOKUP(B69,#REF!,55,FALSE)/1000</f>
        <v>#REF!</v>
      </c>
      <c r="F69" s="109"/>
      <c r="L69" s="77">
        <v>5.2809983540981541E-4</v>
      </c>
      <c r="N69" s="77">
        <v>4.4263857565320813E-4</v>
      </c>
      <c r="P69" s="77">
        <v>4.7708793448559037E-4</v>
      </c>
    </row>
    <row r="70" spans="1:16" hidden="1" x14ac:dyDescent="0.25">
      <c r="A70" s="18">
        <v>68</v>
      </c>
      <c r="B70" s="41" t="s">
        <v>14</v>
      </c>
      <c r="C70" s="14" t="e">
        <f>HLOOKUP(B70,#REF!,11,FALSE)/1000+HLOOKUP(B70,#REF!,31,FALSE)/1000+HLOOKUP(B70,#REF!,42,FALSE)/1000+HLOOKUP(B70,#REF!,53,FALSE)/1000</f>
        <v>#REF!</v>
      </c>
      <c r="D70" s="107" t="e">
        <f>HLOOKUP(B70,#REF!,12,FALSE)/1000+HLOOKUP(B70,#REF!,32,FALSE)/1000+HLOOKUP(B70,#REF!,43,FALSE)/1000+HLOOKUP(B70,#REF!,54,FALSE)/1000</f>
        <v>#REF!</v>
      </c>
      <c r="E70" s="108" t="e">
        <f>HLOOKUP(B70,#REF!,13,FALSE)/1000+HLOOKUP(B70,#REF!,33,FALSE)/1000+HLOOKUP(B70,#REF!,44,FALSE)/1000+HLOOKUP(B70,#REF!,55,FALSE)/1000</f>
        <v>#REF!</v>
      </c>
      <c r="F70" s="109"/>
      <c r="L70" s="77">
        <v>4.6860144359896319E-4</v>
      </c>
      <c r="N70" s="77">
        <v>4.4109393368240601E-4</v>
      </c>
      <c r="P70" s="77">
        <v>4.3735646157425833E-4</v>
      </c>
    </row>
    <row r="71" spans="1:16" hidden="1" x14ac:dyDescent="0.25">
      <c r="A71" s="18">
        <v>69</v>
      </c>
      <c r="B71" s="72" t="s">
        <v>115</v>
      </c>
      <c r="C71" s="14" t="e">
        <f>HLOOKUP(B71,#REF!,11,FALSE)/1000+HLOOKUP(B71,#REF!,31,FALSE)/1000+HLOOKUP(B71,#REF!,42,FALSE)/1000+HLOOKUP(B71,#REF!,53,FALSE)/1000</f>
        <v>#REF!</v>
      </c>
      <c r="D71" s="107" t="e">
        <f>HLOOKUP(B71,#REF!,12,FALSE)/1000+HLOOKUP(B71,#REF!,32,FALSE)/1000+HLOOKUP(B71,#REF!,43,FALSE)/1000+HLOOKUP(B71,#REF!,54,FALSE)/1000</f>
        <v>#REF!</v>
      </c>
      <c r="E71" s="108" t="e">
        <f>HLOOKUP(B71,#REF!,13,FALSE)/1000+HLOOKUP(B71,#REF!,33,FALSE)/1000+HLOOKUP(B71,#REF!,44,FALSE)/1000+HLOOKUP(B71,#REF!,55,FALSE)/1000</f>
        <v>#REF!</v>
      </c>
      <c r="F71" s="109"/>
    </row>
    <row r="72" spans="1:16" ht="18" hidden="1" x14ac:dyDescent="0.25">
      <c r="A72" s="18">
        <v>70</v>
      </c>
      <c r="B72" s="10" t="s">
        <v>116</v>
      </c>
      <c r="C72" s="14">
        <f>HLOOKUP(B72,[2]Result!$B$1:$AO$16,3,FALSE)/1000+HLOOKUP(B72,[2]Result!$B$1:$AO$16,10,FALSE)/1000</f>
        <v>490.34919999999994</v>
      </c>
      <c r="D72" s="14">
        <f>HLOOKUP(B72,[2]Result!$B$1:$AO$16,4,FALSE)/1000+HLOOKUP(B72,[2]Result!$B$1:$AO$16,11,FALSE)/1000</f>
        <v>428.60879999999997</v>
      </c>
      <c r="E72" s="15">
        <f>HLOOKUP(B72,[2]Result!$B$1:$AO$16,5,FALSE)/1000+HLOOKUP(B72,[2]Result!$B$1:$AO$16,12,FALSE)/1000</f>
        <v>505.12581999999998</v>
      </c>
    </row>
    <row r="73" spans="1:16" s="109" customFormat="1" ht="17.25" hidden="1" x14ac:dyDescent="0.25">
      <c r="A73" s="110"/>
      <c r="B73" s="111" t="s">
        <v>226</v>
      </c>
      <c r="C73" s="107">
        <f>HLOOKUP(B73,[2]Result!$B$1:$AO$16,3,FALSE)/1000+HLOOKUP(B73,[2]Result!$B$1:$AO$16,10,FALSE)/1000</f>
        <v>355.89</v>
      </c>
      <c r="D73" s="107">
        <f>HLOOKUP(B73,[2]Result!$B$1:$AO$16,4,FALSE)/1000+HLOOKUP(B73,[2]Result!$B$1:$AO$16,11,FALSE)/1000</f>
        <v>352.51400000000001</v>
      </c>
      <c r="E73" s="108">
        <f>HLOOKUP(B73,[2]Result!$B$1:$AO$16,5,FALSE)/1000+HLOOKUP(B73,[2]Result!$B$1:$AO$16,12,FALSE)/1000</f>
        <v>373.834</v>
      </c>
    </row>
    <row r="74" spans="1:16" s="109" customFormat="1" ht="16.5" hidden="1" x14ac:dyDescent="0.25">
      <c r="A74" s="110"/>
      <c r="B74" s="111" t="s">
        <v>228</v>
      </c>
      <c r="C74" s="14" t="e">
        <f>HLOOKUP(B74,#REF!,11,FALSE)/1000+HLOOKUP(B74,#REF!,31,FALSE)/1000+HLOOKUP(B74,#REF!,42,FALSE)/1000+HLOOKUP(B74,#REF!,53,FALSE)/1000</f>
        <v>#REF!</v>
      </c>
      <c r="D74" s="107" t="e">
        <f>HLOOKUP(B74,#REF!,12,FALSE)/1000+HLOOKUP(B74,#REF!,32,FALSE)/1000+HLOOKUP(B74,#REF!,43,FALSE)/1000+HLOOKUP(B74,#REF!,54,FALSE)/1000</f>
        <v>#REF!</v>
      </c>
      <c r="E74" s="108" t="e">
        <f>HLOOKUP(B74,#REF!,13,FALSE)/1000+HLOOKUP(B74,#REF!,33,FALSE)/1000+HLOOKUP(B74,#REF!,44,FALSE)/1000+HLOOKUP(B74,#REF!,55,FALSE)/1000</f>
        <v>#REF!</v>
      </c>
    </row>
    <row r="75" spans="1:16" hidden="1" x14ac:dyDescent="0.25">
      <c r="C75" s="14" t="e">
        <f>SUM(C3:C71)</f>
        <v>#REF!</v>
      </c>
      <c r="D75" s="14" t="e">
        <f t="shared" ref="D75" si="0">SUM(D3:D71)</f>
        <v>#REF!</v>
      </c>
      <c r="E75" s="14" t="e">
        <f>SUM(E3:E72)</f>
        <v>#REF!</v>
      </c>
    </row>
    <row r="76" spans="1:16" hidden="1" x14ac:dyDescent="0.25">
      <c r="F76" s="7" t="e">
        <f>E75/D75</f>
        <v>#REF!</v>
      </c>
    </row>
    <row r="78" spans="1:16" x14ac:dyDescent="0.25">
      <c r="D78" s="103" t="e">
        <f>D75/C75-1</f>
        <v>#REF!</v>
      </c>
      <c r="E78" s="103" t="e">
        <f>E75/D75-1</f>
        <v>#REF!</v>
      </c>
    </row>
  </sheetData>
  <autoFilter ref="A2:Z76" xr:uid="{647CDFB8-C6CC-4B32-99C6-72B0F2130904}">
    <filterColumn colId="1">
      <filters>
        <filter val="Экофинанс"/>
      </filters>
    </filterColumn>
  </autoFilter>
  <pageMargins left="0.7" right="0.7" top="0.75" bottom="0.75" header="0.3" footer="0.3"/>
  <pageSetup paperSize="9" orientation="portrait" horizontalDpi="4294967294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FFC2A-C3A3-47CC-9E4A-FDAA53EED002}">
  <sheetPr>
    <tabColor theme="9" tint="0.79998168889431442"/>
  </sheetPr>
  <dimension ref="A1:G12"/>
  <sheetViews>
    <sheetView workbookViewId="0"/>
  </sheetViews>
  <sheetFormatPr defaultRowHeight="15" x14ac:dyDescent="0.25"/>
  <cols>
    <col min="1" max="1" width="9.140625" style="45"/>
    <col min="2" max="2" width="40.7109375" style="45" customWidth="1"/>
    <col min="3" max="6" width="19.28515625" style="45" customWidth="1"/>
    <col min="7" max="7" width="11" style="45" bestFit="1" customWidth="1"/>
    <col min="8" max="16384" width="9.140625" style="45"/>
  </cols>
  <sheetData>
    <row r="1" spans="1:7" x14ac:dyDescent="0.25">
      <c r="A1" s="45" t="s">
        <v>335</v>
      </c>
    </row>
    <row r="2" spans="1:7" ht="51" customHeight="1" x14ac:dyDescent="0.25">
      <c r="A2" s="43" t="s">
        <v>276</v>
      </c>
      <c r="B2" s="61" t="s">
        <v>0</v>
      </c>
      <c r="C2" s="161" t="s">
        <v>334</v>
      </c>
      <c r="D2" s="161" t="s">
        <v>331</v>
      </c>
      <c r="E2" s="161" t="s">
        <v>333</v>
      </c>
      <c r="F2" s="161" t="s">
        <v>330</v>
      </c>
    </row>
    <row r="3" spans="1:7" x14ac:dyDescent="0.25">
      <c r="A3" s="30">
        <v>1</v>
      </c>
      <c r="B3" s="123" t="s">
        <v>8</v>
      </c>
      <c r="C3" s="70">
        <v>1668.9380000000001</v>
      </c>
      <c r="D3" s="70">
        <v>664.51900000000001</v>
      </c>
      <c r="E3" s="70">
        <v>599.98</v>
      </c>
      <c r="F3" s="70">
        <v>173.334</v>
      </c>
      <c r="G3" s="45">
        <v>4205271785</v>
      </c>
    </row>
    <row r="4" spans="1:7" x14ac:dyDescent="0.25">
      <c r="A4" s="30">
        <v>2</v>
      </c>
      <c r="B4" s="172" t="s">
        <v>19</v>
      </c>
      <c r="C4" s="70">
        <v>1318.3240000000001</v>
      </c>
      <c r="D4" s="70">
        <v>357.339</v>
      </c>
      <c r="E4" s="70">
        <v>726.53</v>
      </c>
      <c r="F4" s="70">
        <v>225.16200000000001</v>
      </c>
      <c r="G4" s="45">
        <v>7704784072</v>
      </c>
    </row>
    <row r="5" spans="1:7" x14ac:dyDescent="0.25">
      <c r="A5" s="30">
        <v>3</v>
      </c>
      <c r="B5" s="123" t="s">
        <v>33</v>
      </c>
      <c r="C5" s="70">
        <v>695.05</v>
      </c>
      <c r="D5" s="70">
        <v>268.81200000000001</v>
      </c>
      <c r="E5" s="70">
        <v>672.702</v>
      </c>
      <c r="F5" s="70">
        <v>297.02499999999998</v>
      </c>
      <c r="G5" s="45">
        <v>5410059568</v>
      </c>
    </row>
    <row r="6" spans="1:7" x14ac:dyDescent="0.25">
      <c r="A6" s="30">
        <v>4</v>
      </c>
      <c r="B6" s="123" t="s">
        <v>213</v>
      </c>
      <c r="C6" s="70">
        <v>692.87800000000004</v>
      </c>
      <c r="D6" s="70">
        <v>320.56599999999997</v>
      </c>
      <c r="E6" s="70">
        <v>394.31400000000002</v>
      </c>
      <c r="F6" s="70">
        <v>232.809</v>
      </c>
      <c r="G6" s="45" t="s">
        <v>214</v>
      </c>
    </row>
    <row r="7" spans="1:7" x14ac:dyDescent="0.25">
      <c r="A7" s="30">
        <v>5</v>
      </c>
      <c r="B7" s="123" t="s">
        <v>251</v>
      </c>
      <c r="C7" s="70">
        <v>500.28100000000001</v>
      </c>
      <c r="D7" s="70">
        <v>117.017</v>
      </c>
      <c r="E7" s="70">
        <v>222.27799999999999</v>
      </c>
      <c r="F7" s="70">
        <v>60.128</v>
      </c>
      <c r="G7" s="45" t="s">
        <v>18</v>
      </c>
    </row>
    <row r="8" spans="1:7" x14ac:dyDescent="0.25">
      <c r="A8" s="30">
        <v>6</v>
      </c>
      <c r="B8" s="123" t="s">
        <v>216</v>
      </c>
      <c r="C8" s="70">
        <v>383.09899999999999</v>
      </c>
      <c r="D8" s="70">
        <v>119.354</v>
      </c>
      <c r="E8" s="70">
        <v>93.347999999999999</v>
      </c>
      <c r="F8" s="70">
        <v>8.5190000000000001</v>
      </c>
      <c r="G8" s="45">
        <v>7733812126</v>
      </c>
    </row>
    <row r="9" spans="1:7" x14ac:dyDescent="0.25">
      <c r="A9" s="30">
        <v>7</v>
      </c>
      <c r="B9" s="123" t="s">
        <v>15</v>
      </c>
      <c r="C9" s="70">
        <v>336.952</v>
      </c>
      <c r="D9" s="70">
        <v>157.703</v>
      </c>
      <c r="E9" s="70">
        <v>236.09800000000001</v>
      </c>
      <c r="F9" s="70">
        <v>-38.127000000000002</v>
      </c>
      <c r="G9" s="45">
        <v>7715825027</v>
      </c>
    </row>
    <row r="10" spans="1:7" x14ac:dyDescent="0.25">
      <c r="A10" s="30">
        <v>8</v>
      </c>
      <c r="B10" s="123" t="s">
        <v>256</v>
      </c>
      <c r="C10" s="70">
        <v>294.93599999999998</v>
      </c>
      <c r="D10" s="70">
        <v>24.875</v>
      </c>
      <c r="E10" s="70">
        <v>38.134999999999998</v>
      </c>
      <c r="F10" s="70">
        <v>10.423999999999999</v>
      </c>
      <c r="G10" s="45" t="s">
        <v>258</v>
      </c>
    </row>
    <row r="11" spans="1:7" x14ac:dyDescent="0.25">
      <c r="A11" s="30">
        <v>9</v>
      </c>
      <c r="B11" s="123" t="s">
        <v>237</v>
      </c>
      <c r="C11" s="70">
        <v>224.28810000000001</v>
      </c>
      <c r="D11" s="70">
        <v>186.3776</v>
      </c>
      <c r="E11" s="70">
        <v>144.35389999999998</v>
      </c>
      <c r="F11" s="70">
        <v>63.130900000000004</v>
      </c>
      <c r="G11" s="45">
        <v>7730634468</v>
      </c>
    </row>
    <row r="12" spans="1:7" x14ac:dyDescent="0.25">
      <c r="A12" s="30">
        <v>10</v>
      </c>
      <c r="B12" s="123" t="s">
        <v>257</v>
      </c>
      <c r="C12" s="70">
        <v>192.345</v>
      </c>
      <c r="D12" s="70">
        <v>44.941000000000003</v>
      </c>
      <c r="E12" s="70" t="s">
        <v>5</v>
      </c>
      <c r="F12" s="70" t="s">
        <v>5</v>
      </c>
      <c r="G12" s="45">
        <v>5407973316</v>
      </c>
    </row>
  </sheetData>
  <autoFilter ref="A2:J2" xr:uid="{43A2D24A-6B28-4731-B484-B65F7B22A271}">
    <sortState xmlns:xlrd2="http://schemas.microsoft.com/office/spreadsheetml/2017/richdata2" ref="A3:J30">
      <sortCondition descending="1" ref="C2"/>
    </sortState>
  </autoFilter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F850D-02BE-40D9-980B-2A5B7D051C09}">
  <sheetPr codeName="Лист22"/>
  <dimension ref="B3:S49"/>
  <sheetViews>
    <sheetView topLeftCell="A13" workbookViewId="0">
      <selection activeCell="R43" sqref="R43"/>
    </sheetView>
  </sheetViews>
  <sheetFormatPr defaultRowHeight="15" x14ac:dyDescent="0.25"/>
  <cols>
    <col min="4" max="4" width="15.7109375" customWidth="1"/>
    <col min="5" max="8" width="15.7109375" style="45" customWidth="1"/>
    <col min="9" max="10" width="15.7109375" style="6" customWidth="1"/>
    <col min="11" max="13" width="15.7109375" style="45" customWidth="1"/>
    <col min="14" max="15" width="10.140625" style="45" customWidth="1"/>
  </cols>
  <sheetData>
    <row r="3" spans="2:19" x14ac:dyDescent="0.25">
      <c r="D3" s="17">
        <v>43647</v>
      </c>
      <c r="E3" s="17"/>
      <c r="F3" s="17"/>
      <c r="G3" s="17"/>
      <c r="H3" s="17"/>
      <c r="K3" s="17"/>
      <c r="L3" s="17"/>
      <c r="M3" s="17"/>
      <c r="N3" s="17"/>
      <c r="O3" s="17"/>
      <c r="P3" t="s">
        <v>118</v>
      </c>
    </row>
    <row r="4" spans="2:19" s="45" customFormat="1" ht="63.75" customHeight="1" x14ac:dyDescent="0.25">
      <c r="D4" s="86" t="s">
        <v>119</v>
      </c>
      <c r="E4" s="86" t="s">
        <v>120</v>
      </c>
      <c r="F4" s="87" t="s">
        <v>123</v>
      </c>
      <c r="G4" s="86" t="s">
        <v>124</v>
      </c>
      <c r="H4" s="86" t="s">
        <v>122</v>
      </c>
      <c r="I4" s="87" t="s">
        <v>121</v>
      </c>
      <c r="J4" s="87" t="s">
        <v>125</v>
      </c>
      <c r="K4" s="86" t="s">
        <v>126</v>
      </c>
      <c r="L4" s="17"/>
      <c r="M4" s="17"/>
      <c r="N4" s="17"/>
      <c r="O4" s="17"/>
    </row>
    <row r="5" spans="2:19" s="45" customFormat="1" x14ac:dyDescent="0.25">
      <c r="D5" s="17"/>
      <c r="E5" s="17"/>
      <c r="F5" s="17"/>
      <c r="G5" s="17"/>
      <c r="H5" s="17"/>
      <c r="I5" s="6"/>
      <c r="J5" s="6"/>
      <c r="K5" s="17"/>
      <c r="L5" s="17"/>
      <c r="M5" s="17"/>
      <c r="N5" s="17"/>
      <c r="O5" s="17"/>
    </row>
    <row r="6" spans="2:19" s="45" customFormat="1" x14ac:dyDescent="0.25">
      <c r="D6" s="17"/>
      <c r="E6" s="17"/>
      <c r="F6" s="17"/>
      <c r="G6" s="17"/>
      <c r="H6" s="17"/>
      <c r="I6" s="6"/>
      <c r="J6" s="6"/>
      <c r="K6" s="17"/>
      <c r="L6" s="17"/>
      <c r="M6" s="17"/>
      <c r="N6" s="17"/>
      <c r="O6" s="17"/>
    </row>
    <row r="8" spans="2:19" x14ac:dyDescent="0.25">
      <c r="B8" s="45" t="s">
        <v>24</v>
      </c>
      <c r="D8" s="45" t="e">
        <f>HLOOKUP(B8,#REF!,3,FALSE)</f>
        <v>#REF!</v>
      </c>
      <c r="E8" s="45" t="e">
        <f>HLOOKUP(B8,#REF!,5,FALSE)</f>
        <v>#REF!</v>
      </c>
      <c r="F8" s="45" t="e">
        <f>HLOOKUP(B8,#REF!,20,FALSE)</f>
        <v>#REF!</v>
      </c>
      <c r="G8" s="45" t="e">
        <f>HLOOKUP(B8,#REF!,24,FALSE)</f>
        <v>#REF!</v>
      </c>
      <c r="H8" s="45" t="e">
        <f>HLOOKUP(B8,#REF!,9,FALSE)</f>
        <v>#REF!</v>
      </c>
      <c r="I8" s="6" t="e">
        <f>HLOOKUP(B8,#REF!,7,FALSE)</f>
        <v>#REF!</v>
      </c>
      <c r="J8" s="6" t="e">
        <f t="shared" ref="J8:J17" si="0">1/(1/(I8/100)+((D8+E8)*0.65+(F8+G8)*0.1)/H8)*100</f>
        <v>#REF!</v>
      </c>
      <c r="K8" s="45" t="e">
        <f>HLOOKUP(B8,#REF!,8,FALSE)</f>
        <v>#REF!</v>
      </c>
      <c r="S8" s="84">
        <v>8.32</v>
      </c>
    </row>
    <row r="9" spans="2:19" x14ac:dyDescent="0.25">
      <c r="B9" s="45" t="s">
        <v>35</v>
      </c>
      <c r="D9" s="45" t="e">
        <f>HLOOKUP(B9,#REF!,3,FALSE)</f>
        <v>#REF!</v>
      </c>
      <c r="E9" s="45" t="e">
        <f>HLOOKUP(B9,#REF!,5,FALSE)</f>
        <v>#REF!</v>
      </c>
      <c r="F9" s="45" t="e">
        <f>HLOOKUP(B9,#REF!,20,FALSE)</f>
        <v>#REF!</v>
      </c>
      <c r="G9" s="45" t="e">
        <f>HLOOKUP(B9,#REF!,24,FALSE)</f>
        <v>#REF!</v>
      </c>
      <c r="H9" s="45" t="e">
        <f>HLOOKUP(B9,#REF!,9,FALSE)</f>
        <v>#REF!</v>
      </c>
      <c r="I9" s="6" t="e">
        <f>HLOOKUP(B9,#REF!,7,FALSE)</f>
        <v>#REF!</v>
      </c>
      <c r="J9" s="6" t="e">
        <f t="shared" si="0"/>
        <v>#REF!</v>
      </c>
      <c r="K9" s="45" t="e">
        <f>HLOOKUP(B9,#REF!,8,FALSE)</f>
        <v>#REF!</v>
      </c>
      <c r="S9" s="84">
        <v>8.74</v>
      </c>
    </row>
    <row r="10" spans="2:19" x14ac:dyDescent="0.25">
      <c r="B10" s="45" t="s">
        <v>47</v>
      </c>
      <c r="D10" s="45" t="e">
        <f>HLOOKUP(B10,#REF!,3,FALSE)</f>
        <v>#REF!</v>
      </c>
      <c r="E10" s="45" t="e">
        <f>HLOOKUP(B10,#REF!,5,FALSE)</f>
        <v>#REF!</v>
      </c>
      <c r="F10" s="45" t="e">
        <f>HLOOKUP(B10,#REF!,20,FALSE)</f>
        <v>#REF!</v>
      </c>
      <c r="G10" s="45" t="e">
        <f>HLOOKUP(B10,#REF!,24,FALSE)</f>
        <v>#REF!</v>
      </c>
      <c r="H10" s="45" t="e">
        <f>HLOOKUP(B10,#REF!,9,FALSE)</f>
        <v>#REF!</v>
      </c>
      <c r="I10" s="6" t="e">
        <f>HLOOKUP(B10,#REF!,7,FALSE)</f>
        <v>#REF!</v>
      </c>
      <c r="J10" s="6" t="e">
        <f t="shared" si="0"/>
        <v>#REF!</v>
      </c>
      <c r="K10" s="45" t="e">
        <f>HLOOKUP(B10,#REF!,8,FALSE)</f>
        <v>#REF!</v>
      </c>
      <c r="S10" s="84">
        <v>15.92</v>
      </c>
    </row>
    <row r="11" spans="2:19" x14ac:dyDescent="0.25">
      <c r="B11" s="45" t="s">
        <v>8</v>
      </c>
      <c r="D11" s="45" t="e">
        <f>HLOOKUP(B11,#REF!,3,FALSE)</f>
        <v>#REF!</v>
      </c>
      <c r="E11" s="45" t="e">
        <f>HLOOKUP(B11,#REF!,5,FALSE)</f>
        <v>#REF!</v>
      </c>
      <c r="F11" s="45" t="e">
        <f>HLOOKUP(B11,#REF!,20,FALSE)</f>
        <v>#REF!</v>
      </c>
      <c r="G11" s="45" t="e">
        <f>HLOOKUP(B11,#REF!,24,FALSE)</f>
        <v>#REF!</v>
      </c>
      <c r="H11" s="45" t="e">
        <f>HLOOKUP(B11,#REF!,9,FALSE)</f>
        <v>#REF!</v>
      </c>
      <c r="I11" s="6" t="e">
        <f>HLOOKUP(B11,#REF!,7,FALSE)</f>
        <v>#REF!</v>
      </c>
      <c r="J11" s="6" t="e">
        <f t="shared" si="0"/>
        <v>#REF!</v>
      </c>
      <c r="K11" s="45" t="e">
        <f>HLOOKUP(B11,#REF!,8,FALSE)</f>
        <v>#REF!</v>
      </c>
      <c r="S11" s="84">
        <v>18.07</v>
      </c>
    </row>
    <row r="12" spans="2:19" x14ac:dyDescent="0.25">
      <c r="B12" s="45" t="s">
        <v>14</v>
      </c>
      <c r="D12" s="45" t="e">
        <f>HLOOKUP(B12,#REF!,3,FALSE)</f>
        <v>#REF!</v>
      </c>
      <c r="E12" s="45" t="e">
        <f>HLOOKUP(B12,#REF!,5,FALSE)</f>
        <v>#REF!</v>
      </c>
      <c r="F12" s="45" t="e">
        <f>HLOOKUP(B12,#REF!,20,FALSE)</f>
        <v>#REF!</v>
      </c>
      <c r="G12" s="45" t="e">
        <f>HLOOKUP(B12,#REF!,24,FALSE)</f>
        <v>#REF!</v>
      </c>
      <c r="H12" s="45" t="e">
        <f>HLOOKUP(B12,#REF!,9,FALSE)</f>
        <v>#REF!</v>
      </c>
      <c r="I12" s="6" t="e">
        <f>HLOOKUP(B12,#REF!,7,FALSE)</f>
        <v>#REF!</v>
      </c>
      <c r="J12" s="6" t="e">
        <f t="shared" si="0"/>
        <v>#REF!</v>
      </c>
      <c r="K12" s="45" t="e">
        <f>HLOOKUP(B12,#REF!,8,FALSE)</f>
        <v>#REF!</v>
      </c>
      <c r="S12" s="84">
        <v>20.440000000000001</v>
      </c>
    </row>
    <row r="13" spans="2:19" x14ac:dyDescent="0.25">
      <c r="B13" s="45" t="s">
        <v>9</v>
      </c>
      <c r="D13" s="45" t="e">
        <f>HLOOKUP(B13,#REF!,3,FALSE)</f>
        <v>#REF!</v>
      </c>
      <c r="E13" s="45" t="e">
        <f>HLOOKUP(B13,#REF!,5,FALSE)</f>
        <v>#REF!</v>
      </c>
      <c r="F13" s="45" t="e">
        <f>HLOOKUP(B13,#REF!,20,FALSE)</f>
        <v>#REF!</v>
      </c>
      <c r="G13" s="45" t="e">
        <f>HLOOKUP(B13,#REF!,24,FALSE)</f>
        <v>#REF!</v>
      </c>
      <c r="H13" s="45" t="e">
        <f>HLOOKUP(B13,#REF!,9,FALSE)</f>
        <v>#REF!</v>
      </c>
      <c r="I13" s="6" t="e">
        <f>HLOOKUP(B13,#REF!,7,FALSE)</f>
        <v>#REF!</v>
      </c>
      <c r="J13" s="6" t="e">
        <f t="shared" si="0"/>
        <v>#REF!</v>
      </c>
      <c r="K13" s="45" t="e">
        <f>HLOOKUP(B13,#REF!,8,FALSE)</f>
        <v>#REF!</v>
      </c>
      <c r="S13" s="85">
        <v>31.14</v>
      </c>
    </row>
    <row r="14" spans="2:19" x14ac:dyDescent="0.25">
      <c r="B14" s="45" t="s">
        <v>41</v>
      </c>
      <c r="D14" s="45" t="e">
        <f>HLOOKUP(B14,#REF!,3,FALSE)</f>
        <v>#REF!</v>
      </c>
      <c r="E14" s="45" t="e">
        <f>HLOOKUP(B14,#REF!,5,FALSE)</f>
        <v>#REF!</v>
      </c>
      <c r="F14" s="45" t="e">
        <f>HLOOKUP(B14,#REF!,20,FALSE)</f>
        <v>#REF!</v>
      </c>
      <c r="G14" s="45" t="e">
        <f>HLOOKUP(B14,#REF!,24,FALSE)</f>
        <v>#REF!</v>
      </c>
      <c r="H14" s="45" t="e">
        <f>HLOOKUP(B14,#REF!,9,FALSE)</f>
        <v>#REF!</v>
      </c>
      <c r="I14" s="6" t="e">
        <f>HLOOKUP(B14,#REF!,7,FALSE)</f>
        <v>#REF!</v>
      </c>
      <c r="J14" s="6" t="e">
        <f t="shared" si="0"/>
        <v>#REF!</v>
      </c>
      <c r="K14" s="45" t="e">
        <f>HLOOKUP(B14,#REF!,8,FALSE)</f>
        <v>#REF!</v>
      </c>
      <c r="S14" s="85">
        <v>47.64</v>
      </c>
    </row>
    <row r="15" spans="2:19" x14ac:dyDescent="0.25">
      <c r="B15" s="45" t="s">
        <v>43</v>
      </c>
      <c r="D15" s="45" t="e">
        <f>HLOOKUP(B15,#REF!,3,FALSE)</f>
        <v>#REF!</v>
      </c>
      <c r="E15" s="45" t="e">
        <f>HLOOKUP(B15,#REF!,5,FALSE)</f>
        <v>#REF!</v>
      </c>
      <c r="F15" s="45" t="e">
        <f>HLOOKUP(B15,#REF!,20,FALSE)</f>
        <v>#REF!</v>
      </c>
      <c r="G15" s="45" t="e">
        <f>HLOOKUP(B15,#REF!,24,FALSE)</f>
        <v>#REF!</v>
      </c>
      <c r="H15" s="45" t="e">
        <f>HLOOKUP(B15,#REF!,9,FALSE)</f>
        <v>#REF!</v>
      </c>
      <c r="I15" s="6" t="e">
        <f>HLOOKUP(B15,#REF!,7,FALSE)</f>
        <v>#REF!</v>
      </c>
      <c r="J15" s="6" t="e">
        <f t="shared" si="0"/>
        <v>#REF!</v>
      </c>
      <c r="K15" s="45" t="e">
        <f>HLOOKUP(B15,#REF!,8,FALSE)</f>
        <v>#REF!</v>
      </c>
      <c r="S15" s="85">
        <v>49.94</v>
      </c>
    </row>
    <row r="16" spans="2:19" x14ac:dyDescent="0.25">
      <c r="B16" s="45" t="s">
        <v>87</v>
      </c>
      <c r="D16" s="45" t="e">
        <f>HLOOKUP(B16,#REF!,3,FALSE)</f>
        <v>#REF!</v>
      </c>
      <c r="E16" s="45" t="e">
        <f>HLOOKUP(B16,#REF!,5,FALSE)</f>
        <v>#REF!</v>
      </c>
      <c r="F16" s="45" t="e">
        <f>HLOOKUP(B16,#REF!,20,FALSE)</f>
        <v>#REF!</v>
      </c>
      <c r="G16" s="45" t="e">
        <f>HLOOKUP(B16,#REF!,24,FALSE)</f>
        <v>#REF!</v>
      </c>
      <c r="H16" s="45" t="e">
        <f>HLOOKUP(B16,#REF!,9,FALSE)</f>
        <v>#REF!</v>
      </c>
      <c r="I16" s="6" t="e">
        <f>HLOOKUP(B16,#REF!,7,FALSE)</f>
        <v>#REF!</v>
      </c>
      <c r="J16" s="6" t="e">
        <f t="shared" si="0"/>
        <v>#REF!</v>
      </c>
      <c r="K16" s="45" t="e">
        <f>HLOOKUP(B16,#REF!,8,FALSE)</f>
        <v>#REF!</v>
      </c>
      <c r="S16" s="85">
        <v>64.78</v>
      </c>
    </row>
    <row r="17" spans="2:19" x14ac:dyDescent="0.25">
      <c r="B17" s="45" t="s">
        <v>13</v>
      </c>
      <c r="D17" s="45" t="e">
        <f>HLOOKUP(B17,#REF!,3,FALSE)</f>
        <v>#REF!</v>
      </c>
      <c r="E17" s="45" t="e">
        <f>HLOOKUP(B17,#REF!,5,FALSE)</f>
        <v>#REF!</v>
      </c>
      <c r="F17" s="45" t="e">
        <f>HLOOKUP(B17,#REF!,20,FALSE)</f>
        <v>#REF!</v>
      </c>
      <c r="G17" s="45" t="e">
        <f>HLOOKUP(B17,#REF!,24,FALSE)</f>
        <v>#REF!</v>
      </c>
      <c r="H17" s="45" t="e">
        <f>HLOOKUP(B17,#REF!,9,FALSE)</f>
        <v>#REF!</v>
      </c>
      <c r="I17" s="6" t="e">
        <f>HLOOKUP(B17,#REF!,7,FALSE)</f>
        <v>#REF!</v>
      </c>
      <c r="J17" s="6" t="e">
        <f t="shared" si="0"/>
        <v>#REF!</v>
      </c>
      <c r="K17" s="45" t="e">
        <f>HLOOKUP(B17,#REF!,8,FALSE)</f>
        <v>#REF!</v>
      </c>
      <c r="S17" s="85">
        <v>95</v>
      </c>
    </row>
    <row r="19" spans="2:19" x14ac:dyDescent="0.25">
      <c r="R19" s="83" t="s">
        <v>145</v>
      </c>
      <c r="S19" s="83">
        <f>(S12+S13)/2</f>
        <v>25.79</v>
      </c>
    </row>
    <row r="20" spans="2:19" x14ac:dyDescent="0.25">
      <c r="B20" t="s">
        <v>149</v>
      </c>
      <c r="R20" t="s">
        <v>146</v>
      </c>
      <c r="S20" s="44">
        <f>AVERAGE(S8:S17)</f>
        <v>35.999000000000002</v>
      </c>
    </row>
    <row r="22" spans="2:19" x14ac:dyDescent="0.25">
      <c r="D22">
        <v>1</v>
      </c>
      <c r="E22" s="45">
        <v>2</v>
      </c>
      <c r="F22" s="45">
        <v>3</v>
      </c>
      <c r="G22" s="45">
        <v>4</v>
      </c>
      <c r="H22" s="45">
        <v>5</v>
      </c>
      <c r="I22" s="45">
        <v>6</v>
      </c>
      <c r="J22" s="45">
        <v>7</v>
      </c>
      <c r="K22" s="45">
        <v>8</v>
      </c>
      <c r="L22" s="45">
        <v>9</v>
      </c>
      <c r="M22" s="45">
        <v>10</v>
      </c>
      <c r="N22" t="s">
        <v>148</v>
      </c>
    </row>
    <row r="23" spans="2:19" x14ac:dyDescent="0.25">
      <c r="C23" s="21">
        <v>0.05</v>
      </c>
      <c r="D23" s="88">
        <f t="shared" ref="D23:M32" si="1">1/((1/$C23)+D$22)</f>
        <v>4.7619047619047616E-2</v>
      </c>
      <c r="E23" s="88">
        <f t="shared" si="1"/>
        <v>4.5454545454545456E-2</v>
      </c>
      <c r="F23" s="88">
        <f t="shared" si="1"/>
        <v>4.3478260869565216E-2</v>
      </c>
      <c r="G23" s="88">
        <f t="shared" si="1"/>
        <v>4.1666666666666664E-2</v>
      </c>
      <c r="H23" s="88">
        <f t="shared" si="1"/>
        <v>0.04</v>
      </c>
      <c r="I23" s="88">
        <f t="shared" si="1"/>
        <v>3.8461538461538464E-2</v>
      </c>
      <c r="J23" s="88">
        <f t="shared" si="1"/>
        <v>3.7037037037037035E-2</v>
      </c>
      <c r="K23" s="88">
        <f t="shared" si="1"/>
        <v>3.5714285714285712E-2</v>
      </c>
      <c r="L23" s="88">
        <f t="shared" si="1"/>
        <v>3.4482758620689655E-2</v>
      </c>
      <c r="M23" s="88">
        <f t="shared" si="1"/>
        <v>3.3333333333333333E-2</v>
      </c>
    </row>
    <row r="24" spans="2:19" x14ac:dyDescent="0.25">
      <c r="C24" s="21">
        <v>0.1</v>
      </c>
      <c r="D24" s="21">
        <f t="shared" si="1"/>
        <v>9.0909090909090912E-2</v>
      </c>
      <c r="E24" s="21">
        <f t="shared" si="1"/>
        <v>8.3333333333333329E-2</v>
      </c>
      <c r="F24" s="21">
        <f t="shared" si="1"/>
        <v>7.6923076923076927E-2</v>
      </c>
      <c r="G24" s="21">
        <f t="shared" si="1"/>
        <v>7.1428571428571425E-2</v>
      </c>
      <c r="H24" s="21">
        <f t="shared" si="1"/>
        <v>6.6666666666666666E-2</v>
      </c>
      <c r="I24" s="115">
        <f t="shared" si="1"/>
        <v>6.25E-2</v>
      </c>
      <c r="J24" s="88">
        <f t="shared" si="1"/>
        <v>5.8823529411764705E-2</v>
      </c>
      <c r="K24" s="88">
        <f t="shared" si="1"/>
        <v>5.5555555555555552E-2</v>
      </c>
      <c r="L24" s="88">
        <f t="shared" si="1"/>
        <v>5.2631578947368418E-2</v>
      </c>
      <c r="M24" s="88">
        <f t="shared" si="1"/>
        <v>0.05</v>
      </c>
    </row>
    <row r="25" spans="2:19" x14ac:dyDescent="0.25">
      <c r="C25" s="21">
        <f>C24+0.05</f>
        <v>0.15000000000000002</v>
      </c>
      <c r="D25" s="21">
        <f t="shared" si="1"/>
        <v>0.13043478260869565</v>
      </c>
      <c r="E25" s="21">
        <f t="shared" si="1"/>
        <v>0.11538461538461539</v>
      </c>
      <c r="F25" s="21">
        <f t="shared" si="1"/>
        <v>0.10344827586206898</v>
      </c>
      <c r="G25" s="21">
        <f t="shared" si="1"/>
        <v>9.375E-2</v>
      </c>
      <c r="H25" s="21">
        <f t="shared" si="1"/>
        <v>8.5714285714285715E-2</v>
      </c>
      <c r="I25" s="21">
        <f t="shared" si="1"/>
        <v>7.8947368421052641E-2</v>
      </c>
      <c r="J25" s="21">
        <f t="shared" si="1"/>
        <v>7.3170731707317083E-2</v>
      </c>
      <c r="K25" s="21">
        <f t="shared" si="1"/>
        <v>6.8181818181818191E-2</v>
      </c>
      <c r="L25" s="115">
        <f t="shared" si="1"/>
        <v>6.3829787234042562E-2</v>
      </c>
      <c r="M25" s="115">
        <f t="shared" si="1"/>
        <v>6.0000000000000012E-2</v>
      </c>
    </row>
    <row r="26" spans="2:19" x14ac:dyDescent="0.25">
      <c r="C26" s="116">
        <f t="shared" ref="C26:C32" si="2">C25+0.05</f>
        <v>0.2</v>
      </c>
      <c r="D26" s="116">
        <f t="shared" si="1"/>
        <v>0.16666666666666666</v>
      </c>
      <c r="E26" s="116">
        <f t="shared" si="1"/>
        <v>0.14285714285714285</v>
      </c>
      <c r="F26" s="116">
        <f t="shared" si="1"/>
        <v>0.125</v>
      </c>
      <c r="G26" s="116">
        <f t="shared" si="1"/>
        <v>0.1111111111111111</v>
      </c>
      <c r="H26" s="116">
        <f t="shared" si="1"/>
        <v>0.1</v>
      </c>
      <c r="I26" s="116">
        <f t="shared" si="1"/>
        <v>9.0909090909090912E-2</v>
      </c>
      <c r="J26" s="116">
        <f t="shared" si="1"/>
        <v>8.3333333333333329E-2</v>
      </c>
      <c r="K26" s="116">
        <f t="shared" si="1"/>
        <v>7.6923076923076927E-2</v>
      </c>
      <c r="L26" s="116">
        <f t="shared" si="1"/>
        <v>7.1428571428571425E-2</v>
      </c>
      <c r="M26" s="116">
        <f t="shared" si="1"/>
        <v>6.6666666666666666E-2</v>
      </c>
      <c r="N26" s="45" t="s">
        <v>234</v>
      </c>
    </row>
    <row r="27" spans="2:19" x14ac:dyDescent="0.25">
      <c r="C27" s="21">
        <f t="shared" si="2"/>
        <v>0.25</v>
      </c>
      <c r="D27" s="21">
        <f t="shared" si="1"/>
        <v>0.2</v>
      </c>
      <c r="E27" s="21">
        <f t="shared" si="1"/>
        <v>0.16666666666666666</v>
      </c>
      <c r="F27" s="21">
        <f t="shared" si="1"/>
        <v>0.14285714285714285</v>
      </c>
      <c r="G27" s="21">
        <f t="shared" si="1"/>
        <v>0.125</v>
      </c>
      <c r="H27" s="21">
        <f t="shared" si="1"/>
        <v>0.1111111111111111</v>
      </c>
      <c r="I27" s="21">
        <f t="shared" si="1"/>
        <v>0.1</v>
      </c>
      <c r="J27" s="21">
        <f t="shared" si="1"/>
        <v>9.0909090909090912E-2</v>
      </c>
      <c r="K27" s="21">
        <f t="shared" si="1"/>
        <v>8.3333333333333329E-2</v>
      </c>
      <c r="L27" s="21">
        <f t="shared" si="1"/>
        <v>7.6923076923076927E-2</v>
      </c>
      <c r="M27" s="21">
        <f t="shared" si="1"/>
        <v>7.1428571428571425E-2</v>
      </c>
    </row>
    <row r="28" spans="2:19" x14ac:dyDescent="0.25">
      <c r="C28" s="21">
        <f t="shared" si="2"/>
        <v>0.3</v>
      </c>
      <c r="D28" s="21">
        <f t="shared" si="1"/>
        <v>0.23076923076923073</v>
      </c>
      <c r="E28" s="21">
        <f t="shared" si="1"/>
        <v>0.18749999999999997</v>
      </c>
      <c r="F28" s="21">
        <f t="shared" si="1"/>
        <v>0.15789473684210525</v>
      </c>
      <c r="G28" s="21">
        <f t="shared" si="1"/>
        <v>0.13636363636363635</v>
      </c>
      <c r="H28" s="21">
        <f t="shared" si="1"/>
        <v>0.12</v>
      </c>
      <c r="I28" s="21">
        <f t="shared" si="1"/>
        <v>0.10714285714285714</v>
      </c>
      <c r="J28" s="21">
        <f t="shared" si="1"/>
        <v>9.6774193548387094E-2</v>
      </c>
      <c r="K28" s="21">
        <f t="shared" si="1"/>
        <v>8.8235294117647051E-2</v>
      </c>
      <c r="L28" s="21">
        <f t="shared" si="1"/>
        <v>8.1081081081081072E-2</v>
      </c>
      <c r="M28" s="21">
        <f t="shared" si="1"/>
        <v>7.4999999999999997E-2</v>
      </c>
    </row>
    <row r="29" spans="2:19" x14ac:dyDescent="0.25">
      <c r="C29" s="21">
        <f t="shared" si="2"/>
        <v>0.35</v>
      </c>
      <c r="D29" s="21">
        <f t="shared" si="1"/>
        <v>0.25925925925925924</v>
      </c>
      <c r="E29" s="21">
        <f t="shared" si="1"/>
        <v>0.20588235294117646</v>
      </c>
      <c r="F29" s="21">
        <f t="shared" si="1"/>
        <v>0.17073170731707316</v>
      </c>
      <c r="G29" s="21">
        <f t="shared" si="1"/>
        <v>0.14583333333333331</v>
      </c>
      <c r="H29" s="21">
        <f t="shared" si="1"/>
        <v>0.12727272727272726</v>
      </c>
      <c r="I29" s="21">
        <f t="shared" si="1"/>
        <v>0.11290322580645161</v>
      </c>
      <c r="J29" s="21">
        <f t="shared" si="1"/>
        <v>0.10144927536231883</v>
      </c>
      <c r="K29" s="21">
        <f t="shared" si="1"/>
        <v>9.2105263157894732E-2</v>
      </c>
      <c r="L29" s="21">
        <f t="shared" si="1"/>
        <v>8.4337349397590355E-2</v>
      </c>
      <c r="M29" s="21">
        <f t="shared" si="1"/>
        <v>7.7777777777777779E-2</v>
      </c>
    </row>
    <row r="30" spans="2:19" x14ac:dyDescent="0.25">
      <c r="C30" s="21">
        <f t="shared" si="2"/>
        <v>0.39999999999999997</v>
      </c>
      <c r="D30" s="21">
        <f t="shared" si="1"/>
        <v>0.2857142857142857</v>
      </c>
      <c r="E30" s="21">
        <f t="shared" si="1"/>
        <v>0.22222222222222221</v>
      </c>
      <c r="F30" s="21">
        <f t="shared" si="1"/>
        <v>0.18181818181818182</v>
      </c>
      <c r="G30" s="21">
        <f t="shared" si="1"/>
        <v>0.15384615384615385</v>
      </c>
      <c r="H30" s="21">
        <f t="shared" si="1"/>
        <v>0.13333333333333333</v>
      </c>
      <c r="I30" s="21">
        <f t="shared" si="1"/>
        <v>0.11764705882352941</v>
      </c>
      <c r="J30" s="21">
        <f t="shared" si="1"/>
        <v>0.10526315789473684</v>
      </c>
      <c r="K30" s="21">
        <f t="shared" si="1"/>
        <v>9.5238095238095233E-2</v>
      </c>
      <c r="L30" s="21">
        <f t="shared" si="1"/>
        <v>8.6956521739130432E-2</v>
      </c>
      <c r="M30" s="21">
        <f t="shared" si="1"/>
        <v>0.08</v>
      </c>
    </row>
    <row r="31" spans="2:19" x14ac:dyDescent="0.25">
      <c r="C31" s="21">
        <f t="shared" si="2"/>
        <v>0.44999999999999996</v>
      </c>
      <c r="D31" s="21">
        <f t="shared" si="1"/>
        <v>0.31034482758620691</v>
      </c>
      <c r="E31" s="21">
        <f t="shared" si="1"/>
        <v>0.23684210526315788</v>
      </c>
      <c r="F31" s="21">
        <f t="shared" si="1"/>
        <v>0.19148936170212766</v>
      </c>
      <c r="G31" s="21">
        <f t="shared" si="1"/>
        <v>0.1607142857142857</v>
      </c>
      <c r="H31" s="21">
        <f t="shared" si="1"/>
        <v>0.13846153846153847</v>
      </c>
      <c r="I31" s="21">
        <f t="shared" si="1"/>
        <v>0.12162162162162163</v>
      </c>
      <c r="J31" s="21">
        <f t="shared" si="1"/>
        <v>0.10843373493975905</v>
      </c>
      <c r="K31" s="21">
        <f t="shared" si="1"/>
        <v>9.7826086956521743E-2</v>
      </c>
      <c r="L31" s="21">
        <f t="shared" si="1"/>
        <v>8.9108910891089119E-2</v>
      </c>
      <c r="M31" s="21">
        <f t="shared" si="1"/>
        <v>8.1818181818181818E-2</v>
      </c>
    </row>
    <row r="32" spans="2:19" x14ac:dyDescent="0.25">
      <c r="C32" s="116">
        <f t="shared" si="2"/>
        <v>0.49999999999999994</v>
      </c>
      <c r="D32" s="116">
        <f t="shared" si="1"/>
        <v>0.33333333333333331</v>
      </c>
      <c r="E32" s="116">
        <f t="shared" si="1"/>
        <v>0.25</v>
      </c>
      <c r="F32" s="116">
        <f t="shared" si="1"/>
        <v>0.2</v>
      </c>
      <c r="G32" s="116">
        <f t="shared" si="1"/>
        <v>0.16666666666666666</v>
      </c>
      <c r="H32" s="116">
        <f t="shared" si="1"/>
        <v>0.14285714285714285</v>
      </c>
      <c r="I32" s="116">
        <f t="shared" si="1"/>
        <v>0.125</v>
      </c>
      <c r="J32" s="116">
        <f t="shared" si="1"/>
        <v>0.1111111111111111</v>
      </c>
      <c r="K32" s="116">
        <f t="shared" si="1"/>
        <v>0.1</v>
      </c>
      <c r="L32" s="116">
        <f t="shared" si="1"/>
        <v>9.0909090909090912E-2</v>
      </c>
      <c r="M32" s="116">
        <f t="shared" si="1"/>
        <v>8.3333333333333329E-2</v>
      </c>
      <c r="N32" s="45" t="s">
        <v>233</v>
      </c>
    </row>
    <row r="33" spans="3:3" x14ac:dyDescent="0.25">
      <c r="C33" s="2" t="s">
        <v>147</v>
      </c>
    </row>
    <row r="49" spans="9:9" x14ac:dyDescent="0.25">
      <c r="I49" s="6" t="s">
        <v>150</v>
      </c>
    </row>
  </sheetData>
  <sortState xmlns:xlrd2="http://schemas.microsoft.com/office/spreadsheetml/2017/richdata2" ref="S8:S17">
    <sortCondition ref="S8"/>
  </sortState>
  <pageMargins left="0.7" right="0.7" top="0.75" bottom="0.75" header="0.3" footer="0.3"/>
  <pageSetup paperSize="9" orientation="portrait" horizontalDpi="4294967294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7315A-9DDD-40CA-B1F4-6F4B25ECBBB0}">
  <sheetPr codeName="Лист23"/>
  <dimension ref="A1:F5"/>
  <sheetViews>
    <sheetView workbookViewId="0">
      <selection activeCell="K34" sqref="K34"/>
    </sheetView>
  </sheetViews>
  <sheetFormatPr defaultColWidth="9.140625" defaultRowHeight="15" x14ac:dyDescent="0.25"/>
  <cols>
    <col min="1" max="1" width="9.140625" style="45"/>
    <col min="2" max="2" width="24.85546875" style="36" customWidth="1"/>
    <col min="3" max="3" width="18.85546875" style="45" customWidth="1"/>
    <col min="4" max="4" width="22.140625" style="45" customWidth="1"/>
    <col min="5" max="5" width="17.7109375" style="45" customWidth="1"/>
    <col min="6" max="6" width="43.7109375" style="3" customWidth="1"/>
    <col min="7" max="16384" width="9.140625" style="45"/>
  </cols>
  <sheetData>
    <row r="1" spans="1:6" x14ac:dyDescent="0.25">
      <c r="A1" s="33"/>
      <c r="B1" s="35"/>
      <c r="C1" s="40">
        <v>43282</v>
      </c>
      <c r="D1" s="45" t="s">
        <v>105</v>
      </c>
      <c r="E1" s="40">
        <v>43647</v>
      </c>
    </row>
    <row r="2" spans="1:6" x14ac:dyDescent="0.25">
      <c r="C2" s="45" t="s">
        <v>97</v>
      </c>
      <c r="E2" s="45" t="s">
        <v>96</v>
      </c>
      <c r="F2" s="3" t="s">
        <v>26</v>
      </c>
    </row>
    <row r="3" spans="1:6" x14ac:dyDescent="0.25">
      <c r="B3" s="37" t="s">
        <v>36</v>
      </c>
      <c r="C3" s="45" t="e">
        <f>HLOOKUP(B3,#REF!,38,FALSE)/1000</f>
        <v>#REF!</v>
      </c>
      <c r="D3" s="45" t="e">
        <f>HLOOKUP(B3,#REF!,39,FALSE)/1000-HLOOKUP(B3,#REF!,38,FALSE)/1000</f>
        <v>#REF!</v>
      </c>
      <c r="E3" s="45" t="e">
        <f>HLOOKUP(B3,#REF!,40,FALSE)/1000</f>
        <v>#REF!</v>
      </c>
      <c r="F3" s="3" t="s">
        <v>20</v>
      </c>
    </row>
    <row r="4" spans="1:6" x14ac:dyDescent="0.25">
      <c r="B4" s="37" t="s">
        <v>15</v>
      </c>
      <c r="C4" s="45" t="e">
        <f>HLOOKUP(B4,#REF!,38,FALSE)/1000</f>
        <v>#REF!</v>
      </c>
      <c r="D4" s="45" t="e">
        <f>HLOOKUP(B4,#REF!,39,FALSE)/1000-HLOOKUP(B4,#REF!,38,FALSE)/1000</f>
        <v>#REF!</v>
      </c>
      <c r="E4" s="45" t="e">
        <f>HLOOKUP(B4,#REF!,40,FALSE)/1000</f>
        <v>#REF!</v>
      </c>
      <c r="F4" s="3" t="e">
        <f t="shared" ref="F4:F5" si="0">(E4/C4-1)*100</f>
        <v>#REF!</v>
      </c>
    </row>
    <row r="5" spans="1:6" x14ac:dyDescent="0.25">
      <c r="B5" s="37" t="s">
        <v>46</v>
      </c>
      <c r="C5" s="45" t="e">
        <f>HLOOKUP(B5,#REF!,38,FALSE)/1000</f>
        <v>#REF!</v>
      </c>
      <c r="D5" s="45" t="e">
        <f>HLOOKUP(B5,#REF!,39,FALSE)/1000-HLOOKUP(B5,#REF!,38,FALSE)/1000</f>
        <v>#REF!</v>
      </c>
      <c r="E5" s="45" t="e">
        <f>HLOOKUP(B5,#REF!,40,FALSE)/1000</f>
        <v>#REF!</v>
      </c>
      <c r="F5" s="3" t="e">
        <f t="shared" si="0"/>
        <v>#REF!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3366-4C17-42F1-A5BD-D222D1E22459}">
  <sheetPr codeName="Лист24">
    <tabColor theme="7" tint="0.59999389629810485"/>
  </sheetPr>
  <dimension ref="A1:I14"/>
  <sheetViews>
    <sheetView workbookViewId="0">
      <selection activeCell="G26" sqref="G26"/>
    </sheetView>
  </sheetViews>
  <sheetFormatPr defaultColWidth="9.140625" defaultRowHeight="15" x14ac:dyDescent="0.25"/>
  <cols>
    <col min="1" max="1" width="9.140625" style="45"/>
    <col min="2" max="2" width="40.7109375" style="45" customWidth="1"/>
    <col min="3" max="6" width="12.7109375" style="6" customWidth="1"/>
    <col min="7" max="9" width="10.140625" style="45" customWidth="1"/>
    <col min="10" max="16384" width="9.140625" style="45"/>
  </cols>
  <sheetData>
    <row r="1" spans="1:9" x14ac:dyDescent="0.25">
      <c r="A1" s="45" t="s">
        <v>130</v>
      </c>
      <c r="G1" s="17"/>
      <c r="H1" s="17"/>
      <c r="I1" s="17"/>
    </row>
    <row r="2" spans="1:9" ht="46.5" customHeight="1" x14ac:dyDescent="0.25">
      <c r="A2" s="43"/>
      <c r="B2" s="52" t="s">
        <v>0</v>
      </c>
      <c r="C2" s="52" t="s">
        <v>128</v>
      </c>
      <c r="D2" s="52" t="s">
        <v>129</v>
      </c>
      <c r="E2" s="52" t="s">
        <v>131</v>
      </c>
      <c r="F2" s="52" t="s">
        <v>127</v>
      </c>
      <c r="G2" s="17"/>
      <c r="H2" s="17"/>
      <c r="I2" s="17"/>
    </row>
    <row r="3" spans="1:9" x14ac:dyDescent="0.25">
      <c r="A3" s="30">
        <v>1</v>
      </c>
      <c r="B3" s="54" t="s">
        <v>24</v>
      </c>
      <c r="C3" s="56" t="e">
        <f>Расчет!I8</f>
        <v>#REF!</v>
      </c>
      <c r="D3" s="56" t="e">
        <f>Расчет!J8</f>
        <v>#REF!</v>
      </c>
      <c r="E3" s="76" t="e">
        <f>D3/C3-1</f>
        <v>#REF!</v>
      </c>
      <c r="F3" s="56" t="e">
        <f>Расчет!K8</f>
        <v>#REF!</v>
      </c>
    </row>
    <row r="4" spans="1:9" x14ac:dyDescent="0.25">
      <c r="A4" s="30">
        <v>2</v>
      </c>
      <c r="B4" s="54" t="s">
        <v>35</v>
      </c>
      <c r="C4" s="56" t="e">
        <f>Расчет!I9</f>
        <v>#REF!</v>
      </c>
      <c r="D4" s="56" t="e">
        <f>Расчет!J9</f>
        <v>#REF!</v>
      </c>
      <c r="E4" s="76" t="e">
        <f t="shared" ref="E4:E12" si="0">D4/C4-1</f>
        <v>#REF!</v>
      </c>
      <c r="F4" s="56" t="e">
        <f>Расчет!K9</f>
        <v>#REF!</v>
      </c>
    </row>
    <row r="5" spans="1:9" x14ac:dyDescent="0.25">
      <c r="A5" s="30">
        <v>3</v>
      </c>
      <c r="B5" s="54" t="s">
        <v>47</v>
      </c>
      <c r="C5" s="56" t="e">
        <f>Расчет!I10</f>
        <v>#REF!</v>
      </c>
      <c r="D5" s="56" t="e">
        <f>Расчет!J10</f>
        <v>#REF!</v>
      </c>
      <c r="E5" s="76" t="e">
        <f t="shared" si="0"/>
        <v>#REF!</v>
      </c>
      <c r="F5" s="56" t="e">
        <f>Расчет!K10</f>
        <v>#REF!</v>
      </c>
    </row>
    <row r="6" spans="1:9" x14ac:dyDescent="0.25">
      <c r="A6" s="30">
        <v>4</v>
      </c>
      <c r="B6" s="54" t="s">
        <v>8</v>
      </c>
      <c r="C6" s="56" t="e">
        <f>Расчет!I11</f>
        <v>#REF!</v>
      </c>
      <c r="D6" s="56" t="e">
        <f>Расчет!J11</f>
        <v>#REF!</v>
      </c>
      <c r="E6" s="76" t="e">
        <f t="shared" si="0"/>
        <v>#REF!</v>
      </c>
      <c r="F6" s="56" t="e">
        <f>Расчет!K11</f>
        <v>#REF!</v>
      </c>
    </row>
    <row r="7" spans="1:9" x14ac:dyDescent="0.25">
      <c r="A7" s="30">
        <v>5</v>
      </c>
      <c r="B7" s="54" t="s">
        <v>14</v>
      </c>
      <c r="C7" s="56" t="e">
        <f>Расчет!I12</f>
        <v>#REF!</v>
      </c>
      <c r="D7" s="56" t="e">
        <f>Расчет!J12</f>
        <v>#REF!</v>
      </c>
      <c r="E7" s="76" t="e">
        <f t="shared" si="0"/>
        <v>#REF!</v>
      </c>
      <c r="F7" s="56" t="e">
        <f>Расчет!K12</f>
        <v>#REF!</v>
      </c>
    </row>
    <row r="8" spans="1:9" x14ac:dyDescent="0.25">
      <c r="A8" s="30">
        <v>6</v>
      </c>
      <c r="B8" s="54" t="s">
        <v>9</v>
      </c>
      <c r="C8" s="56" t="e">
        <f>Расчет!I13</f>
        <v>#REF!</v>
      </c>
      <c r="D8" s="56" t="e">
        <f>Расчет!J13</f>
        <v>#REF!</v>
      </c>
      <c r="E8" s="76" t="e">
        <f t="shared" si="0"/>
        <v>#REF!</v>
      </c>
      <c r="F8" s="56" t="e">
        <f>Расчет!K13</f>
        <v>#REF!</v>
      </c>
    </row>
    <row r="9" spans="1:9" x14ac:dyDescent="0.25">
      <c r="A9" s="30">
        <v>7</v>
      </c>
      <c r="B9" s="54" t="s">
        <v>19</v>
      </c>
      <c r="C9" s="56" t="e">
        <f>Расчет!I14</f>
        <v>#REF!</v>
      </c>
      <c r="D9" s="56" t="e">
        <f>Расчет!J14</f>
        <v>#REF!</v>
      </c>
      <c r="E9" s="76" t="e">
        <f t="shared" si="0"/>
        <v>#REF!</v>
      </c>
      <c r="F9" s="56" t="s">
        <v>5</v>
      </c>
    </row>
    <row r="10" spans="1:9" x14ac:dyDescent="0.25">
      <c r="A10" s="30">
        <v>8</v>
      </c>
      <c r="B10" s="54" t="s">
        <v>43</v>
      </c>
      <c r="C10" s="56" t="e">
        <f>Расчет!I15</f>
        <v>#REF!</v>
      </c>
      <c r="D10" s="56" t="e">
        <f>Расчет!J15</f>
        <v>#REF!</v>
      </c>
      <c r="E10" s="76" t="e">
        <f t="shared" si="0"/>
        <v>#REF!</v>
      </c>
      <c r="F10" s="56" t="e">
        <f>Расчет!K15</f>
        <v>#REF!</v>
      </c>
    </row>
    <row r="11" spans="1:9" x14ac:dyDescent="0.25">
      <c r="A11" s="30">
        <v>9</v>
      </c>
      <c r="B11" s="54" t="s">
        <v>87</v>
      </c>
      <c r="C11" s="56" t="e">
        <f>Расчет!I16</f>
        <v>#REF!</v>
      </c>
      <c r="D11" s="56" t="e">
        <f>Расчет!J16</f>
        <v>#REF!</v>
      </c>
      <c r="E11" s="76" t="e">
        <f t="shared" si="0"/>
        <v>#REF!</v>
      </c>
      <c r="F11" s="56" t="e">
        <f>Расчет!K16</f>
        <v>#REF!</v>
      </c>
    </row>
    <row r="12" spans="1:9" x14ac:dyDescent="0.25">
      <c r="A12" s="30">
        <v>10</v>
      </c>
      <c r="B12" s="54" t="s">
        <v>13</v>
      </c>
      <c r="C12" s="56" t="e">
        <f>Расчет!I17</f>
        <v>#REF!</v>
      </c>
      <c r="D12" s="56" t="e">
        <f>Расчет!J17</f>
        <v>#REF!</v>
      </c>
      <c r="E12" s="76" t="e">
        <f t="shared" si="0"/>
        <v>#REF!</v>
      </c>
      <c r="F12" s="56" t="e">
        <f>Расчет!K17</f>
        <v>#REF!</v>
      </c>
    </row>
    <row r="13" spans="1:9" x14ac:dyDescent="0.25">
      <c r="B13" s="78" t="s">
        <v>145</v>
      </c>
      <c r="C13" s="79">
        <v>25.79</v>
      </c>
      <c r="D13" s="79">
        <v>23.14</v>
      </c>
      <c r="E13" s="80">
        <f>D13/C13-1</f>
        <v>-0.10275300504071339</v>
      </c>
      <c r="F13" s="79">
        <v>25.79</v>
      </c>
    </row>
    <row r="14" spans="1:9" x14ac:dyDescent="0.25">
      <c r="B14" s="89" t="s">
        <v>132</v>
      </c>
      <c r="C14" s="90" t="e">
        <f>AVERAGE(C3:C12)</f>
        <v>#REF!</v>
      </c>
      <c r="D14" s="90" t="e">
        <f>AVERAGE(D3:D12)</f>
        <v>#REF!</v>
      </c>
      <c r="E14" s="91" t="e">
        <f>AVERAGE(E3:E12)</f>
        <v>#REF!</v>
      </c>
      <c r="F14" s="90" t="e">
        <f>AVERAGE(F3:F12)</f>
        <v>#REF!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55F55-6CC1-4220-B879-A24D98BB21FF}">
  <sheetPr codeName="Лист2"/>
  <dimension ref="A1:Z78"/>
  <sheetViews>
    <sheetView topLeftCell="A10" workbookViewId="0">
      <selection activeCell="E31" sqref="E31"/>
    </sheetView>
  </sheetViews>
  <sheetFormatPr defaultColWidth="9.140625" defaultRowHeight="15" x14ac:dyDescent="0.25"/>
  <cols>
    <col min="1" max="1" width="9.140625" style="18"/>
    <col min="2" max="2" width="51" style="29" customWidth="1"/>
    <col min="3" max="4" width="10.140625" style="14" bestFit="1" customWidth="1"/>
    <col min="5" max="5" width="10.140625" style="15" bestFit="1" customWidth="1"/>
    <col min="6" max="16384" width="9.140625" style="7"/>
  </cols>
  <sheetData>
    <row r="1" spans="1:26" customFormat="1" ht="48.75" customHeight="1" x14ac:dyDescent="0.25">
      <c r="A1" s="22" t="s">
        <v>30</v>
      </c>
      <c r="B1" s="23"/>
      <c r="C1" s="24"/>
      <c r="D1" s="24"/>
      <c r="E1" s="25"/>
      <c r="L1" s="77">
        <v>9.374026933282259E-2</v>
      </c>
      <c r="M1" s="7"/>
      <c r="N1" s="77">
        <v>8.54367878854871E-2</v>
      </c>
      <c r="O1" s="7"/>
      <c r="P1" s="77">
        <v>8.0019350698478348E-2</v>
      </c>
    </row>
    <row r="2" spans="1:26" s="11" customFormat="1" ht="45" x14ac:dyDescent="0.25">
      <c r="A2" s="26" t="s">
        <v>88</v>
      </c>
      <c r="B2" s="27" t="s">
        <v>0</v>
      </c>
      <c r="C2" s="27" t="s">
        <v>90</v>
      </c>
      <c r="D2" s="16" t="s">
        <v>29</v>
      </c>
      <c r="E2" s="28" t="s">
        <v>89</v>
      </c>
      <c r="F2" s="12"/>
      <c r="G2" s="12"/>
      <c r="H2" s="12"/>
      <c r="I2" s="12"/>
      <c r="J2" s="12"/>
      <c r="K2" s="12"/>
      <c r="L2" s="77">
        <v>6.9403276804034561E-2</v>
      </c>
      <c r="M2" s="7"/>
      <c r="N2" s="77">
        <v>6.4296553719436336E-2</v>
      </c>
      <c r="O2" s="7"/>
      <c r="P2" s="77">
        <v>7.570457114210527E-2</v>
      </c>
      <c r="Q2" s="12"/>
      <c r="R2" s="12"/>
      <c r="S2" s="12"/>
      <c r="T2" s="12"/>
      <c r="U2" s="12"/>
      <c r="V2" s="12"/>
      <c r="W2" s="12"/>
      <c r="X2" s="13"/>
      <c r="Y2" s="12"/>
      <c r="Z2" s="12"/>
    </row>
    <row r="3" spans="1:26" x14ac:dyDescent="0.25">
      <c r="A3" s="18">
        <v>1</v>
      </c>
      <c r="B3" s="8" t="s">
        <v>41</v>
      </c>
      <c r="C3" s="14" t="e">
        <f>HLOOKUP(B3,#REF!,11,FALSE)/1000+HLOOKUP(B3,#REF!,31,FALSE)/1000+HLOOKUP(B3,#REF!,42,FALSE)/1000+HLOOKUP(B3,#REF!,53,FALSE)/1000</f>
        <v>#REF!</v>
      </c>
      <c r="D3" s="14" t="e">
        <f>HLOOKUP(B3,#REF!,12,FALSE)/1000+HLOOKUP(B3,#REF!,32,FALSE)/1000+HLOOKUP(B3,#REF!,43,FALSE)/1000+HLOOKUP(B3,#REF!,54,FALSE)/1000</f>
        <v>#REF!</v>
      </c>
      <c r="E3" s="68" t="e">
        <f>HLOOKUP(B3,#REF!,13,FALSE)/1000+HLOOKUP(B3,#REF!,33,FALSE)/1000+HLOOKUP(B3,#REF!,44,FALSE)/1000+HLOOKUP(B3,#REF!,55,FALSE)/1000</f>
        <v>#REF!</v>
      </c>
      <c r="L3" s="77">
        <v>5.9318133040494048E-2</v>
      </c>
      <c r="N3" s="77">
        <v>5.3817684339974046E-2</v>
      </c>
      <c r="P3" s="77">
        <v>7.4122265689675504E-2</v>
      </c>
    </row>
    <row r="4" spans="1:26" x14ac:dyDescent="0.25">
      <c r="A4" s="18">
        <v>2</v>
      </c>
      <c r="B4" s="8" t="s">
        <v>8</v>
      </c>
      <c r="C4" s="14" t="e">
        <f>HLOOKUP(B4,#REF!,11,FALSE)/1000+HLOOKUP(B4,#REF!,31,FALSE)/1000+HLOOKUP(B4,#REF!,42,FALSE)/1000+HLOOKUP(B4,#REF!,53,FALSE)/1000</f>
        <v>#REF!</v>
      </c>
      <c r="D4" s="14" t="e">
        <f>HLOOKUP(B4,#REF!,12,FALSE)/1000+HLOOKUP(B4,#REF!,32,FALSE)/1000+HLOOKUP(B4,#REF!,43,FALSE)/1000+HLOOKUP(B4,#REF!,54,FALSE)/1000</f>
        <v>#REF!</v>
      </c>
      <c r="E4" s="68" t="e">
        <f>HLOOKUP(B4,#REF!,13,FALSE)/1000+HLOOKUP(B4,#REF!,33,FALSE)/1000+HLOOKUP(B4,#REF!,44,FALSE)/1000+HLOOKUP(B4,#REF!,55,FALSE)/1000</f>
        <v>#REF!</v>
      </c>
      <c r="L4" s="77">
        <v>5.1676083751532195E-2</v>
      </c>
      <c r="N4" s="77">
        <v>4.7796062912439423E-2</v>
      </c>
      <c r="P4" s="77">
        <v>5.1502300460470267E-2</v>
      </c>
    </row>
    <row r="5" spans="1:26" x14ac:dyDescent="0.25">
      <c r="A5" s="18">
        <v>3</v>
      </c>
      <c r="B5" s="8" t="s">
        <v>15</v>
      </c>
      <c r="C5" s="14" t="e">
        <f>HLOOKUP(B5,#REF!,11,FALSE)/1000+HLOOKUP(B5,#REF!,31,FALSE)/1000+HLOOKUP(B5,#REF!,42,FALSE)/1000+HLOOKUP(B5,#REF!,53,FALSE)/1000</f>
        <v>#REF!</v>
      </c>
      <c r="D5" s="14" t="e">
        <f>HLOOKUP(B5,#REF!,12,FALSE)/1000+HLOOKUP(B5,#REF!,32,FALSE)/1000+HLOOKUP(B5,#REF!,43,FALSE)/1000+HLOOKUP(B5,#REF!,54,FALSE)/1000</f>
        <v>#REF!</v>
      </c>
      <c r="E5" s="68" t="e">
        <f>HLOOKUP(B5,#REF!,13,FALSE)/1000+HLOOKUP(B5,#REF!,33,FALSE)/1000+HLOOKUP(B5,#REF!,44,FALSE)/1000+HLOOKUP(B5,#REF!,55,FALSE)/1000</f>
        <v>#REF!</v>
      </c>
      <c r="L5" s="77">
        <v>4.2893661362266917E-2</v>
      </c>
      <c r="N5" s="77">
        <v>4.7071944388229439E-2</v>
      </c>
      <c r="P5" s="77">
        <v>4.8188673718991076E-2</v>
      </c>
    </row>
    <row r="6" spans="1:26" x14ac:dyDescent="0.25">
      <c r="A6" s="18">
        <v>4</v>
      </c>
      <c r="B6" s="8" t="s">
        <v>31</v>
      </c>
      <c r="C6" s="14" t="e">
        <f>HLOOKUP(B6,#REF!,11,FALSE)/1000+HLOOKUP(B6,#REF!,31,FALSE)/1000+HLOOKUP(B6,#REF!,42,FALSE)/1000+HLOOKUP(B6,#REF!,53,FALSE)/1000</f>
        <v>#REF!</v>
      </c>
      <c r="D6" s="14" t="e">
        <f>HLOOKUP(B6,#REF!,12,FALSE)/1000+HLOOKUP(B6,#REF!,32,FALSE)/1000+HLOOKUP(B6,#REF!,43,FALSE)/1000+HLOOKUP(B6,#REF!,54,FALSE)/1000</f>
        <v>#REF!</v>
      </c>
      <c r="E6" s="68" t="e">
        <f>HLOOKUP(B6,#REF!,13,FALSE)/1000+HLOOKUP(B6,#REF!,33,FALSE)/1000+HLOOKUP(B6,#REF!,44,FALSE)/1000+HLOOKUP(B6,#REF!,55,FALSE)/1000</f>
        <v>#REF!</v>
      </c>
      <c r="L6" s="77">
        <v>4.0854823297986884E-2</v>
      </c>
      <c r="M6" s="67"/>
      <c r="N6" s="77">
        <v>4.3190833152372168E-2</v>
      </c>
      <c r="O6" s="67"/>
      <c r="P6" s="77">
        <v>4.2073184237827244E-2</v>
      </c>
    </row>
    <row r="7" spans="1:26" x14ac:dyDescent="0.25">
      <c r="A7" s="18">
        <v>5</v>
      </c>
      <c r="B7" s="9" t="s">
        <v>87</v>
      </c>
      <c r="C7" s="65" t="e">
        <f>HLOOKUP(B7,#REF!,11,FALSE)/1000+HLOOKUP(B7,#REF!,31,FALSE)/1000+HLOOKUP(B7,#REF!,42,FALSE)/1000+HLOOKUP(B7,#REF!,53,FALSE)/1000</f>
        <v>#REF!</v>
      </c>
      <c r="D7" s="65" t="e">
        <f>HLOOKUP(B7,#REF!,12,FALSE)/1000+HLOOKUP(B7,#REF!,32,FALSE)/1000+HLOOKUP(B7,#REF!,43,FALSE)/1000+HLOOKUP(B7,#REF!,54,FALSE)/1000</f>
        <v>#REF!</v>
      </c>
      <c r="E7" s="68" t="e">
        <f>HLOOKUP(B7,#REF!,13,FALSE)/1000+HLOOKUP(B7,#REF!,33,FALSE)/1000+HLOOKUP(B7,#REF!,44,FALSE)/1000+HLOOKUP(B7,#REF!,55,FALSE)/1000</f>
        <v>#REF!</v>
      </c>
      <c r="L7" s="77">
        <v>3.9440124536134567E-2</v>
      </c>
      <c r="N7" s="77">
        <v>4.1529765870912699E-2</v>
      </c>
      <c r="P7" s="77">
        <v>3.4098583034299704E-2</v>
      </c>
    </row>
    <row r="8" spans="1:26" s="67" customFormat="1" x14ac:dyDescent="0.25">
      <c r="A8" s="18">
        <v>6</v>
      </c>
      <c r="B8" s="64" t="s">
        <v>32</v>
      </c>
      <c r="C8" s="65" t="e">
        <f>HLOOKUP(B8,#REF!,11,FALSE)/1000+HLOOKUP(B8,#REF!,31,FALSE)/1000+HLOOKUP(B8,#REF!,42,FALSE)/1000+HLOOKUP(B8,#REF!,53,FALSE)/1000</f>
        <v>#REF!</v>
      </c>
      <c r="D8" s="65" t="e">
        <f>HLOOKUP(B8,#REF!,12,FALSE)/1000+HLOOKUP(B8,#REF!,32,FALSE)/1000+HLOOKUP(B8,#REF!,43,FALSE)/1000+HLOOKUP(B8,#REF!,54,FALSE)/1000</f>
        <v>#REF!</v>
      </c>
      <c r="E8" s="68" t="e">
        <f>HLOOKUP(B8,#REF!,13,FALSE)/1000+HLOOKUP(B8,#REF!,33,FALSE)/1000+HLOOKUP(B8,#REF!,44,FALSE)/1000+HLOOKUP(B8,#REF!,55,FALSE)/1000</f>
        <v>#REF!</v>
      </c>
      <c r="L8" s="77">
        <v>3.5069645776068074E-2</v>
      </c>
      <c r="M8" s="7"/>
      <c r="N8" s="77">
        <v>3.6903760766107303E-2</v>
      </c>
      <c r="O8" s="7"/>
      <c r="P8" s="77">
        <v>2.767506046730393E-2</v>
      </c>
    </row>
    <row r="9" spans="1:26" x14ac:dyDescent="0.25">
      <c r="A9" s="18">
        <v>7</v>
      </c>
      <c r="B9" s="8" t="s">
        <v>40</v>
      </c>
      <c r="C9" s="14" t="e">
        <f>HLOOKUP(B9,#REF!,11,FALSE)/1000+HLOOKUP(B9,#REF!,31,FALSE)/1000+HLOOKUP(B9,#REF!,42,FALSE)/1000+HLOOKUP(B9,#REF!,53,FALSE)/1000</f>
        <v>#REF!</v>
      </c>
      <c r="D9" s="14" t="e">
        <f>HLOOKUP(B9,#REF!,12,FALSE)/1000+HLOOKUP(B9,#REF!,32,FALSE)/1000+HLOOKUP(B9,#REF!,43,FALSE)/1000+HLOOKUP(B9,#REF!,54,FALSE)/1000</f>
        <v>#REF!</v>
      </c>
      <c r="E9" s="66" t="e">
        <f>HLOOKUP(B9,#REF!,13,FALSE)/1000+HLOOKUP(B9,#REF!,33,FALSE)/1000+HLOOKUP(B9,#REF!,44,FALSE)/1000+HLOOKUP(B9,#REF!,55,FALSE)/1000</f>
        <v>#REF!</v>
      </c>
      <c r="L9" s="77">
        <v>3.0046719208812158E-2</v>
      </c>
      <c r="N9" s="77">
        <v>3.2023750297858734E-2</v>
      </c>
      <c r="P9" s="77">
        <v>2.7318061207724512E-2</v>
      </c>
    </row>
    <row r="10" spans="1:26" x14ac:dyDescent="0.25">
      <c r="A10" s="18">
        <v>8</v>
      </c>
      <c r="B10" s="8" t="s">
        <v>33</v>
      </c>
      <c r="C10" s="14" t="e">
        <f>HLOOKUP(B10,#REF!,11,FALSE)/1000+HLOOKUP(B10,#REF!,31,FALSE)/1000+HLOOKUP(B10,#REF!,42,FALSE)/1000+HLOOKUP(B10,#REF!,53,FALSE)/1000</f>
        <v>#REF!</v>
      </c>
      <c r="D10" s="14" t="e">
        <f>HLOOKUP(B10,#REF!,12,FALSE)/1000+HLOOKUP(B10,#REF!,32,FALSE)/1000+HLOOKUP(B10,#REF!,43,FALSE)/1000+HLOOKUP(B10,#REF!,54,FALSE)/1000</f>
        <v>#REF!</v>
      </c>
      <c r="E10" s="68" t="e">
        <f>HLOOKUP(B10,#REF!,13,FALSE)/1000+HLOOKUP(B10,#REF!,33,FALSE)/1000+HLOOKUP(B10,#REF!,44,FALSE)/1000+HLOOKUP(B10,#REF!,55,FALSE)/1000</f>
        <v>#REF!</v>
      </c>
      <c r="L10" s="77">
        <v>2.7408999480557656E-2</v>
      </c>
      <c r="N10" s="77">
        <v>3.1717299602441441E-2</v>
      </c>
      <c r="P10" s="77">
        <v>2.7198593156675773E-2</v>
      </c>
    </row>
    <row r="11" spans="1:26" x14ac:dyDescent="0.25">
      <c r="A11" s="18">
        <v>9</v>
      </c>
      <c r="B11" s="8" t="s">
        <v>42</v>
      </c>
      <c r="C11" s="14" t="e">
        <f>HLOOKUP(B11,#REF!,11,FALSE)/1000+HLOOKUP(B11,#REF!,31,FALSE)/1000+HLOOKUP(B11,#REF!,42,FALSE)/1000+HLOOKUP(B11,#REF!,53,FALSE)/1000</f>
        <v>#REF!</v>
      </c>
      <c r="D11" s="14" t="e">
        <f>HLOOKUP(B11,#REF!,12,FALSE)/1000+HLOOKUP(B11,#REF!,32,FALSE)/1000+HLOOKUP(B11,#REF!,43,FALSE)/1000+HLOOKUP(B11,#REF!,54,FALSE)/1000</f>
        <v>#REF!</v>
      </c>
      <c r="E11" s="66" t="e">
        <f>HLOOKUP(B11,#REF!,13,FALSE)/1000+HLOOKUP(B11,#REF!,33,FALSE)/1000+HLOOKUP(B11,#REF!,44,FALSE)/1000+HLOOKUP(B11,#REF!,55,FALSE)/1000</f>
        <v>#REF!</v>
      </c>
      <c r="L11" s="77">
        <v>2.5475740351743537E-2</v>
      </c>
      <c r="N11" s="77">
        <v>2.8814144913552973E-2</v>
      </c>
      <c r="P11" s="77">
        <v>2.6067605845552559E-2</v>
      </c>
    </row>
    <row r="12" spans="1:26" x14ac:dyDescent="0.25">
      <c r="A12" s="18">
        <v>10</v>
      </c>
      <c r="B12" s="8" t="s">
        <v>36</v>
      </c>
      <c r="C12" s="14" t="e">
        <f>HLOOKUP(B12,#REF!,11,FALSE)/1000+HLOOKUP(B12,#REF!,31,FALSE)/1000+HLOOKUP(B12,#REF!,42,FALSE)/1000+HLOOKUP(B12,#REF!,53,FALSE)/1000</f>
        <v>#REF!</v>
      </c>
      <c r="D12" s="14" t="e">
        <f>HLOOKUP(B12,#REF!,12,FALSE)/1000+HLOOKUP(B12,#REF!,32,FALSE)/1000+HLOOKUP(B12,#REF!,43,FALSE)/1000+HLOOKUP(B12,#REF!,54,FALSE)/1000</f>
        <v>#REF!</v>
      </c>
      <c r="E12" s="68" t="e">
        <f>HLOOKUP(B12,#REF!,13,FALSE)/1000+HLOOKUP(B12,#REF!,33,FALSE)/1000+HLOOKUP(B12,#REF!,44,FALSE)/1000+HLOOKUP(B12,#REF!,55,FALSE)/1000</f>
        <v>#REF!</v>
      </c>
      <c r="L12" s="77">
        <v>2.2372832701715747E-2</v>
      </c>
      <c r="N12" s="77">
        <v>2.8357138976147785E-2</v>
      </c>
      <c r="P12" s="77">
        <v>2.5070835903060886E-2</v>
      </c>
    </row>
    <row r="13" spans="1:26" x14ac:dyDescent="0.25">
      <c r="A13" s="18">
        <v>11</v>
      </c>
      <c r="B13" s="8" t="s">
        <v>25</v>
      </c>
      <c r="C13" s="14" t="e">
        <f>HLOOKUP(B13,#REF!,11,FALSE)/1000+HLOOKUP(B13,#REF!,31,FALSE)/1000+HLOOKUP(B13,#REF!,42,FALSE)/1000+HLOOKUP(B13,#REF!,53,FALSE)/1000</f>
        <v>#REF!</v>
      </c>
      <c r="D13" s="14" t="e">
        <f>HLOOKUP(B13,#REF!,12,FALSE)/1000+HLOOKUP(B13,#REF!,32,FALSE)/1000+HLOOKUP(B13,#REF!,43,FALSE)/1000+HLOOKUP(B13,#REF!,54,FALSE)/1000</f>
        <v>#REF!</v>
      </c>
      <c r="E13" s="68" t="e">
        <f>HLOOKUP(B13,#REF!,13,FALSE)/1000+HLOOKUP(B13,#REF!,33,FALSE)/1000+HLOOKUP(B13,#REF!,44,FALSE)/1000+HLOOKUP(B13,#REF!,55,FALSE)/1000</f>
        <v>#REF!</v>
      </c>
      <c r="L13" s="77">
        <v>2.1888899792998094E-2</v>
      </c>
      <c r="N13" s="77">
        <v>2.7314045572611634E-2</v>
      </c>
      <c r="P13" s="77">
        <v>2.446535759421772E-2</v>
      </c>
    </row>
    <row r="14" spans="1:26" x14ac:dyDescent="0.25">
      <c r="A14" s="18">
        <v>12</v>
      </c>
      <c r="B14" s="8" t="s">
        <v>45</v>
      </c>
      <c r="C14" s="14" t="e">
        <f>HLOOKUP(B14,#REF!,11,FALSE)/1000+HLOOKUP(B14,#REF!,31,FALSE)/1000+HLOOKUP(B14,#REF!,42,FALSE)/1000+HLOOKUP(B14,#REF!,53,FALSE)/1000</f>
        <v>#REF!</v>
      </c>
      <c r="D14" s="14" t="e">
        <f>HLOOKUP(B14,#REF!,12,FALSE)/1000+HLOOKUP(B14,#REF!,32,FALSE)/1000+HLOOKUP(B14,#REF!,43,FALSE)/1000+HLOOKUP(B14,#REF!,54,FALSE)/1000</f>
        <v>#REF!</v>
      </c>
      <c r="E14" s="68" t="e">
        <f>HLOOKUP(B14,#REF!,13,FALSE)/1000+HLOOKUP(B14,#REF!,33,FALSE)/1000+HLOOKUP(B14,#REF!,44,FALSE)/1000+HLOOKUP(B14,#REF!,55,FALSE)/1000</f>
        <v>#REF!</v>
      </c>
      <c r="L14" s="77">
        <v>2.1277614767440958E-2</v>
      </c>
      <c r="N14" s="77">
        <v>2.1752544276835581E-2</v>
      </c>
      <c r="P14" s="77">
        <v>2.096452977587715E-2</v>
      </c>
    </row>
    <row r="15" spans="1:26" x14ac:dyDescent="0.25">
      <c r="A15" s="18">
        <v>13</v>
      </c>
      <c r="B15" s="8" t="s">
        <v>39</v>
      </c>
      <c r="C15" s="14" t="e">
        <f>HLOOKUP(B15,#REF!,11,FALSE)/1000+HLOOKUP(B15,#REF!,31,FALSE)/1000+HLOOKUP(B15,#REF!,42,FALSE)/1000+HLOOKUP(B15,#REF!,53,FALSE)/1000</f>
        <v>#REF!</v>
      </c>
      <c r="D15" s="14" t="e">
        <f>HLOOKUP(B15,#REF!,12,FALSE)/1000+HLOOKUP(B15,#REF!,32,FALSE)/1000+HLOOKUP(B15,#REF!,43,FALSE)/1000+HLOOKUP(B15,#REF!,54,FALSE)/1000</f>
        <v>#REF!</v>
      </c>
      <c r="E15" s="68" t="e">
        <f>HLOOKUP(B15,#REF!,13,FALSE)/1000+HLOOKUP(B15,#REF!,33,FALSE)/1000+HLOOKUP(B15,#REF!,44,FALSE)/1000+HLOOKUP(B15,#REF!,55,FALSE)/1000</f>
        <v>#REF!</v>
      </c>
      <c r="L15" s="77">
        <v>1.976727411199327E-2</v>
      </c>
      <c r="N15" s="77">
        <v>2.0549650302461551E-2</v>
      </c>
      <c r="P15" s="77">
        <v>2.0925984589479012E-2</v>
      </c>
    </row>
    <row r="16" spans="1:26" ht="18" x14ac:dyDescent="0.25">
      <c r="A16" s="18">
        <v>14</v>
      </c>
      <c r="B16" s="10" t="s">
        <v>73</v>
      </c>
      <c r="C16" s="14">
        <f>HLOOKUP(B16,[2]Result!$B$1:$AO$16,3,FALSE)/1000</f>
        <v>527.19200000000001</v>
      </c>
      <c r="D16" s="14">
        <f>HLOOKUP(B16,[2]Result!$B$1:$AO$16,4,FALSE)/1000</f>
        <v>585.41300000000001</v>
      </c>
      <c r="E16" s="15">
        <f>HLOOKUP(B16,[2]Result!$B$1:$AO$16,5,FALSE)/1000</f>
        <v>928.49900000000002</v>
      </c>
      <c r="L16" s="77">
        <v>1.8968763184117988E-2</v>
      </c>
      <c r="N16" s="77">
        <v>2.026368591369784E-2</v>
      </c>
      <c r="P16" s="77">
        <v>2.0680295527314409E-2</v>
      </c>
    </row>
    <row r="17" spans="1:16" ht="17.25" x14ac:dyDescent="0.25">
      <c r="A17" s="18">
        <v>15</v>
      </c>
      <c r="B17" s="10" t="s">
        <v>80</v>
      </c>
      <c r="C17" s="14">
        <f>HLOOKUP(B17,[2]Result!$B$1:$AO$16,3,FALSE)/1000</f>
        <v>753.12900000000002</v>
      </c>
      <c r="D17" s="14">
        <f>HLOOKUP(B17,[2]Result!$B$1:$AO$16,4,FALSE)/1000</f>
        <v>784.90700000000004</v>
      </c>
      <c r="E17" s="15">
        <f>HLOOKUP(B17,[2]Result!$B$1:$AO$16,5,FALSE)/1000</f>
        <v>1077.4269999999999</v>
      </c>
      <c r="L17" s="77">
        <v>1.5906020643956516E-2</v>
      </c>
      <c r="N17" s="77">
        <v>1.8082063156703108E-2</v>
      </c>
      <c r="P17" s="77">
        <v>1.9358533269250699E-2</v>
      </c>
    </row>
    <row r="18" spans="1:16" ht="16.5" x14ac:dyDescent="0.25">
      <c r="A18" s="18">
        <v>16</v>
      </c>
      <c r="B18" s="10" t="s">
        <v>71</v>
      </c>
      <c r="C18" s="14">
        <f>HLOOKUP(B18,[2]Result!$B$1:$AO$16,3,FALSE)/1000</f>
        <v>877.86599999999999</v>
      </c>
      <c r="D18" s="14">
        <f>HLOOKUP(B18,[2]Result!$B$1:$AO$16,4,FALSE)/1000</f>
        <v>1029.845</v>
      </c>
      <c r="E18" s="15">
        <f>HLOOKUP(B18,[2]Result!$B$1:$AO$16,5,FALSE)/1000</f>
        <v>1133.1320000000001</v>
      </c>
      <c r="L18" s="77">
        <v>1.5822428283321036E-2</v>
      </c>
      <c r="N18" s="77">
        <v>1.7718001717209265E-2</v>
      </c>
      <c r="P18" s="77">
        <v>1.8786179227530449E-2</v>
      </c>
    </row>
    <row r="19" spans="1:16" ht="18" x14ac:dyDescent="0.25">
      <c r="A19" s="18">
        <v>17</v>
      </c>
      <c r="B19" s="10" t="s">
        <v>59</v>
      </c>
      <c r="C19" s="14">
        <f>HLOOKUP(B19,[2]Result!$B$1:$AO$16,3,FALSE)/1000</f>
        <v>834.8918000000001</v>
      </c>
      <c r="D19" s="14">
        <f>HLOOKUP(B19,[2]Result!$B$1:$AO$16,4,FALSE)/1000</f>
        <v>972.89559999999994</v>
      </c>
      <c r="E19" s="15">
        <f>HLOOKUP(B19,[2]Result!$B$1:$AO$16,5,FALSE)/1000</f>
        <v>1060.7088999999999</v>
      </c>
      <c r="L19" s="77">
        <v>1.5802090873629843E-2</v>
      </c>
      <c r="N19" s="77">
        <v>1.670635617041432E-2</v>
      </c>
      <c r="P19" s="77">
        <v>1.8138010527279664E-2</v>
      </c>
    </row>
    <row r="20" spans="1:16" x14ac:dyDescent="0.25">
      <c r="A20" s="18">
        <v>18</v>
      </c>
      <c r="B20" s="9" t="s">
        <v>47</v>
      </c>
      <c r="C20" s="14" t="e">
        <f>HLOOKUP(B20,#REF!,11,FALSE)/1000+HLOOKUP(B20,#REF!,31,FALSE)/1000+HLOOKUP(B20,#REF!,42,FALSE)/1000+HLOOKUP(B20,#REF!,53,FALSE)/1000</f>
        <v>#REF!</v>
      </c>
      <c r="D20" s="14" t="e">
        <f>HLOOKUP(B20,#REF!,12,FALSE)/1000+HLOOKUP(B20,#REF!,32,FALSE)/1000+HLOOKUP(B20,#REF!,43,FALSE)/1000+HLOOKUP(B20,#REF!,54,FALSE)/1000</f>
        <v>#REF!</v>
      </c>
      <c r="E20" s="66" t="e">
        <f>HLOOKUP(B20,#REF!,13,FALSE)/1000+HLOOKUP(B20,#REF!,33,FALSE)/1000+HLOOKUP(B20,#REF!,44,FALSE)/1000+HLOOKUP(B20,#REF!,55,FALSE)/1000</f>
        <v>#REF!</v>
      </c>
      <c r="L20" s="77">
        <v>1.519777927137724E-2</v>
      </c>
      <c r="N20" s="77">
        <v>1.6157497009051617E-2</v>
      </c>
      <c r="P20" s="77">
        <v>1.5887497257806915E-2</v>
      </c>
    </row>
    <row r="21" spans="1:16" x14ac:dyDescent="0.25">
      <c r="A21" s="18">
        <v>19</v>
      </c>
      <c r="B21" s="8" t="s">
        <v>22</v>
      </c>
      <c r="C21" s="14" t="e">
        <f>HLOOKUP(B21,#REF!,11,FALSE)/1000+HLOOKUP(B21,#REF!,31,FALSE)/1000+HLOOKUP(B21,#REF!,42,FALSE)/1000+HLOOKUP(B21,#REF!,53,FALSE)/1000</f>
        <v>#REF!</v>
      </c>
      <c r="D21" s="14" t="e">
        <f>HLOOKUP(B21,#REF!,12,FALSE)/1000+HLOOKUP(B21,#REF!,32,FALSE)/1000+HLOOKUP(B21,#REF!,43,FALSE)/1000+HLOOKUP(B21,#REF!,54,FALSE)/1000</f>
        <v>#REF!</v>
      </c>
      <c r="E21" s="66" t="e">
        <f>HLOOKUP(B21,#REF!,13,FALSE)/1000+HLOOKUP(B21,#REF!,33,FALSE)/1000+HLOOKUP(B21,#REF!,44,FALSE)/1000+HLOOKUP(B21,#REF!,55,FALSE)/1000</f>
        <v>#REF!</v>
      </c>
      <c r="L21" s="77">
        <v>1.4937317708665465E-2</v>
      </c>
      <c r="N21" s="77">
        <v>1.4776087041290133E-2</v>
      </c>
      <c r="P21" s="77">
        <v>1.4388286612986393E-2</v>
      </c>
    </row>
    <row r="22" spans="1:16" ht="16.5" x14ac:dyDescent="0.25">
      <c r="A22" s="18">
        <v>20</v>
      </c>
      <c r="B22" s="10" t="s">
        <v>84</v>
      </c>
      <c r="C22" s="14">
        <f>HLOOKUP(B22,[2]Result!$B$1:$AO$16,3,FALSE)/1000</f>
        <v>620.04300000000001</v>
      </c>
      <c r="D22" s="14">
        <f>HLOOKUP(B22,[2]Result!$B$1:$AO$16,4,FALSE)/1000</f>
        <v>671.33</v>
      </c>
      <c r="E22" s="15">
        <f>HLOOKUP(B22,[2]Result!$B$1:$AO$16,5,FALSE)/1000</f>
        <v>788.375</v>
      </c>
      <c r="L22" s="77">
        <v>1.3949882948658839E-2</v>
      </c>
      <c r="N22" s="77">
        <v>1.4179935378011283E-2</v>
      </c>
      <c r="P22" s="77">
        <v>1.3657807879281265E-2</v>
      </c>
    </row>
    <row r="23" spans="1:16" ht="18" x14ac:dyDescent="0.25">
      <c r="A23" s="18">
        <v>21</v>
      </c>
      <c r="B23" s="10" t="s">
        <v>75</v>
      </c>
      <c r="C23" s="14">
        <f>HLOOKUP(B23,[2]Result!$B$1:$AO$16,3,FALSE)/1000</f>
        <v>547.36599999999999</v>
      </c>
      <c r="D23" s="14">
        <f>HLOOKUP(B23,[2]Result!$B$1:$AO$16,4,FALSE)/1000</f>
        <v>572.58500000000004</v>
      </c>
      <c r="E23" s="15">
        <f>HLOOKUP(B23,[2]Result!$B$1:$AO$16,5,FALSE)/1000</f>
        <v>748.35</v>
      </c>
      <c r="L23" s="77">
        <v>1.2496782671865813E-2</v>
      </c>
      <c r="N23" s="77">
        <v>1.3407899541683858E-2</v>
      </c>
      <c r="P23" s="77">
        <v>1.3423616671013827E-2</v>
      </c>
    </row>
    <row r="24" spans="1:16" x14ac:dyDescent="0.25">
      <c r="A24" s="18">
        <v>22</v>
      </c>
      <c r="B24" s="8" t="s">
        <v>11</v>
      </c>
      <c r="C24" s="14" t="e">
        <f>HLOOKUP(B24,#REF!,11,FALSE)/1000+HLOOKUP(B24,#REF!,31,FALSE)/1000+HLOOKUP(B24,#REF!,42,FALSE)/1000+HLOOKUP(B24,#REF!,53,FALSE)/1000</f>
        <v>#REF!</v>
      </c>
      <c r="D24" s="14" t="e">
        <f>HLOOKUP(B24,#REF!,12,FALSE)/1000+HLOOKUP(B24,#REF!,32,FALSE)/1000+HLOOKUP(B24,#REF!,43,FALSE)/1000+HLOOKUP(B24,#REF!,54,FALSE)/1000</f>
        <v>#REF!</v>
      </c>
      <c r="E24" s="66" t="e">
        <f>HLOOKUP(B24,#REF!,13,FALSE)/1000+HLOOKUP(B24,#REF!,33,FALSE)/1000+HLOOKUP(B24,#REF!,44,FALSE)/1000+HLOOKUP(B24,#REF!,55,FALSE)/1000</f>
        <v>#REF!</v>
      </c>
      <c r="L24" s="77">
        <v>1.2331172952999507E-2</v>
      </c>
      <c r="N24" s="77">
        <v>1.2094228320525809E-2</v>
      </c>
      <c r="P24" s="77">
        <v>1.3196032166096825E-2</v>
      </c>
    </row>
    <row r="25" spans="1:16" x14ac:dyDescent="0.25">
      <c r="A25" s="18">
        <v>23</v>
      </c>
      <c r="B25" s="8" t="s">
        <v>46</v>
      </c>
      <c r="C25" s="14" t="e">
        <f>HLOOKUP(B25,#REF!,11,FALSE)/1000+HLOOKUP(B25,#REF!,31,FALSE)/1000+HLOOKUP(B25,#REF!,42,FALSE)/1000+HLOOKUP(B25,#REF!,53,FALSE)/1000</f>
        <v>#REF!</v>
      </c>
      <c r="D25" s="14" t="e">
        <f>HLOOKUP(B25,#REF!,12,FALSE)/1000+HLOOKUP(B25,#REF!,32,FALSE)/1000+HLOOKUP(B25,#REF!,43,FALSE)/1000+HLOOKUP(B25,#REF!,54,FALSE)/1000</f>
        <v>#REF!</v>
      </c>
      <c r="E25" s="66" t="e">
        <f>HLOOKUP(B25,#REF!,13,FALSE)/1000+HLOOKUP(B25,#REF!,33,FALSE)/1000+HLOOKUP(B25,#REF!,44,FALSE)/1000+HLOOKUP(B25,#REF!,55,FALSE)/1000</f>
        <v>#REF!</v>
      </c>
      <c r="L25" s="77">
        <v>1.2090773306318036E-2</v>
      </c>
      <c r="N25" s="77">
        <v>1.1967981208443267E-2</v>
      </c>
      <c r="P25" s="77">
        <v>1.0880661875363167E-2</v>
      </c>
    </row>
    <row r="26" spans="1:16" x14ac:dyDescent="0.25">
      <c r="A26" s="18">
        <v>24</v>
      </c>
      <c r="B26" s="8" t="s">
        <v>44</v>
      </c>
      <c r="C26" s="14" t="e">
        <f>HLOOKUP(B26,#REF!,11,FALSE)/1000+HLOOKUP(B26,#REF!,31,FALSE)/1000+HLOOKUP(B26,#REF!,42,FALSE)/1000+HLOOKUP(B26,#REF!,53,FALSE)/1000</f>
        <v>#REF!</v>
      </c>
      <c r="D26" s="14" t="e">
        <f>HLOOKUP(B26,#REF!,12,FALSE)/1000+HLOOKUP(B26,#REF!,32,FALSE)/1000+HLOOKUP(B26,#REF!,43,FALSE)/1000+HLOOKUP(B26,#REF!,54,FALSE)/1000</f>
        <v>#REF!</v>
      </c>
      <c r="E26" s="66" t="e">
        <f>HLOOKUP(B26,#REF!,13,FALSE)/1000+HLOOKUP(B26,#REF!,33,FALSE)/1000+HLOOKUP(B26,#REF!,44,FALSE)/1000+HLOOKUP(B26,#REF!,55,FALSE)/1000</f>
        <v>#REF!</v>
      </c>
      <c r="L26" s="77">
        <v>1.1816570225575225E-2</v>
      </c>
      <c r="N26" s="77">
        <v>1.1957694719638815E-2</v>
      </c>
      <c r="P26" s="77">
        <v>1.0448154588043638E-2</v>
      </c>
    </row>
    <row r="27" spans="1:16" x14ac:dyDescent="0.25">
      <c r="A27" s="18">
        <v>25</v>
      </c>
      <c r="B27" s="8" t="s">
        <v>13</v>
      </c>
      <c r="C27" s="14" t="e">
        <f>HLOOKUP(B27,#REF!,11,FALSE)/1000+HLOOKUP(B27,#REF!,31,FALSE)/1000+HLOOKUP(B27,#REF!,42,FALSE)/1000+HLOOKUP(B27,#REF!,53,FALSE)/1000</f>
        <v>#REF!</v>
      </c>
      <c r="D27" s="14" t="e">
        <f>HLOOKUP(B27,#REF!,12,FALSE)/1000+HLOOKUP(B27,#REF!,32,FALSE)/1000+HLOOKUP(B27,#REF!,43,FALSE)/1000+HLOOKUP(B27,#REF!,54,FALSE)/1000</f>
        <v>#REF!</v>
      </c>
      <c r="E27" s="66" t="e">
        <f>HLOOKUP(B27,#REF!,13,FALSE)/1000+HLOOKUP(B27,#REF!,33,FALSE)/1000+HLOOKUP(B27,#REF!,44,FALSE)/1000+HLOOKUP(B27,#REF!,55,FALSE)/1000</f>
        <v>#REF!</v>
      </c>
      <c r="L27" s="77">
        <v>1.1746128370454349E-2</v>
      </c>
      <c r="N27" s="77">
        <v>1.1479193451926262E-2</v>
      </c>
      <c r="P27" s="77">
        <v>9.8345889528548124E-3</v>
      </c>
    </row>
    <row r="28" spans="1:16" ht="18" x14ac:dyDescent="0.25">
      <c r="A28" s="18">
        <v>26</v>
      </c>
      <c r="B28" s="10" t="s">
        <v>83</v>
      </c>
      <c r="C28" s="14">
        <f>HLOOKUP(B28,[2]Result!$B$1:$AO$16,3,FALSE)/1000</f>
        <v>419.786</v>
      </c>
      <c r="D28" s="14">
        <f>HLOOKUP(B28,[2]Result!$B$1:$AO$16,4,FALSE)/1000</f>
        <v>408.22</v>
      </c>
      <c r="E28" s="15">
        <f>HLOOKUP(B28,[2]Result!$B$1:$AO$16,5,FALSE)/1000</f>
        <v>514.12</v>
      </c>
      <c r="L28" s="77">
        <v>1.1579376902272046E-2</v>
      </c>
      <c r="N28" s="77">
        <v>1.0112357770150552E-2</v>
      </c>
      <c r="P28" s="77">
        <v>9.5477266234012918E-3</v>
      </c>
    </row>
    <row r="29" spans="1:16" ht="18" x14ac:dyDescent="0.25">
      <c r="A29" s="18">
        <v>27</v>
      </c>
      <c r="B29" s="10" t="s">
        <v>67</v>
      </c>
      <c r="C29" s="14">
        <f>HLOOKUP(B29,[2]Result!$B$1:$AO$16,3,FALSE)/1000</f>
        <v>418.56900000000002</v>
      </c>
      <c r="D29" s="14">
        <f>HLOOKUP(B29,[2]Result!$B$1:$AO$16,4,FALSE)/1000</f>
        <v>409.60300000000001</v>
      </c>
      <c r="E29" s="15">
        <f>HLOOKUP(B29,[2]Result!$B$1:$AO$16,5,FALSE)/1000</f>
        <v>501.41199999999998</v>
      </c>
      <c r="L29" s="77">
        <v>1.1275615516170125E-2</v>
      </c>
      <c r="N29" s="77">
        <v>9.647480291511655E-3</v>
      </c>
      <c r="P29" s="77">
        <v>9.2188299651558888E-3</v>
      </c>
    </row>
    <row r="30" spans="1:16" ht="18" x14ac:dyDescent="0.25">
      <c r="A30" s="18">
        <v>28</v>
      </c>
      <c r="B30" s="10" t="s">
        <v>53</v>
      </c>
      <c r="C30" s="14">
        <f>HLOOKUP(B30,[2]Result!$B$1:$AO$16,3,FALSE)/1000</f>
        <v>389.63200000000001</v>
      </c>
      <c r="D30" s="14">
        <f>HLOOKUP(B30,[2]Result!$B$1:$AO$16,4,FALSE)/1000</f>
        <v>411.75</v>
      </c>
      <c r="E30" s="15">
        <f>HLOOKUP(B30,[2]Result!$B$1:$AO$16,5,FALSE)/1000</f>
        <v>449.79199999999997</v>
      </c>
      <c r="L30" s="77">
        <v>1.1108889533463624E-2</v>
      </c>
      <c r="N30" s="77">
        <v>9.0531409090119051E-3</v>
      </c>
      <c r="P30" s="77">
        <v>9.1510506639489245E-3</v>
      </c>
    </row>
    <row r="31" spans="1:16" ht="17.25" x14ac:dyDescent="0.25">
      <c r="A31" s="18">
        <v>29</v>
      </c>
      <c r="B31" s="10" t="s">
        <v>51</v>
      </c>
      <c r="C31" s="14">
        <f>HLOOKUP(B31,[2]Result!$B$1:$AO$16,3,FALSE)/1000</f>
        <v>314.34300000000002</v>
      </c>
      <c r="D31" s="14">
        <f>HLOOKUP(B31,[2]Result!$B$1:$AO$16,4,FALSE)/1000</f>
        <v>411.71600000000001</v>
      </c>
      <c r="E31" s="15">
        <f>HLOOKUP(B31,[2]Result!$B$1:$AO$16,5,FALSE)/1000</f>
        <v>479.80900000000003</v>
      </c>
      <c r="L31" s="77">
        <v>1.094468661286167E-2</v>
      </c>
      <c r="N31" s="77">
        <v>9.0353180358020597E-3</v>
      </c>
      <c r="P31" s="77">
        <v>9.1385125280324855E-3</v>
      </c>
    </row>
    <row r="32" spans="1:16" ht="18" x14ac:dyDescent="0.25">
      <c r="A32" s="18">
        <v>30</v>
      </c>
      <c r="B32" s="10" t="s">
        <v>69</v>
      </c>
      <c r="C32" s="14">
        <f>HLOOKUP(B32,[2]Result!$B$1:$AO$16,3,FALSE)/1000</f>
        <v>429.44799999999998</v>
      </c>
      <c r="D32" s="14">
        <f>HLOOKUP(B32,[2]Result!$B$1:$AO$16,4,FALSE)/1000</f>
        <v>427.76499999999999</v>
      </c>
      <c r="E32" s="15">
        <f>HLOOKUP(B32,[2]Result!$B$1:$AO$16,5,FALSE)/1000</f>
        <v>478.21699999999998</v>
      </c>
      <c r="L32" s="77">
        <v>1.0869122177104291E-2</v>
      </c>
      <c r="N32" s="77">
        <v>8.8862167535215392E-3</v>
      </c>
      <c r="P32" s="77">
        <v>8.7567837786464413E-3</v>
      </c>
    </row>
    <row r="33" spans="1:16" ht="18" x14ac:dyDescent="0.25">
      <c r="A33" s="18">
        <v>31</v>
      </c>
      <c r="B33" s="10" t="s">
        <v>82</v>
      </c>
      <c r="C33" s="14">
        <f>HLOOKUP(B33,[2]Result!$B$1:$AO$16,3,FALSE)/1000</f>
        <v>423.93799999999999</v>
      </c>
      <c r="D33" s="14">
        <f>HLOOKUP(B33,[2]Result!$B$1:$AO$16,4,FALSE)/1000</f>
        <v>447.49400000000003</v>
      </c>
      <c r="E33" s="15">
        <f>HLOOKUP(B33,[2]Result!$B$1:$AO$16,5,FALSE)/1000</f>
        <v>455.363</v>
      </c>
      <c r="L33" s="77">
        <v>1.0667430121595401E-2</v>
      </c>
      <c r="N33" s="77">
        <v>8.8791830763718833E-3</v>
      </c>
      <c r="P33" s="77">
        <v>8.7277288843539101E-3</v>
      </c>
    </row>
    <row r="34" spans="1:16" ht="16.5" x14ac:dyDescent="0.25">
      <c r="A34" s="18">
        <v>32</v>
      </c>
      <c r="B34" s="10" t="s">
        <v>48</v>
      </c>
      <c r="C34" s="14">
        <f>HLOOKUP(B34,[2]Result!$B$1:$AO$16,3,FALSE)/1000</f>
        <v>426.483</v>
      </c>
      <c r="D34" s="14">
        <f>HLOOKUP(B34,[2]Result!$B$1:$AO$16,4,FALSE)/1000</f>
        <v>420.37299999999999</v>
      </c>
      <c r="E34" s="15">
        <f>HLOOKUP(B34,[2]Result!$B$1:$AO$16,5,FALSE)/1000</f>
        <v>445.375</v>
      </c>
      <c r="L34" s="77">
        <v>1.0229334792533216E-2</v>
      </c>
      <c r="N34" s="77">
        <v>8.8144225534264129E-3</v>
      </c>
      <c r="P34" s="77">
        <v>8.3852388427121758E-3</v>
      </c>
    </row>
    <row r="35" spans="1:16" x14ac:dyDescent="0.25">
      <c r="A35" s="18">
        <v>33</v>
      </c>
      <c r="B35" s="8" t="s">
        <v>9</v>
      </c>
      <c r="C35" s="14" t="e">
        <f>HLOOKUP(B35,#REF!,11,FALSE)/1000+HLOOKUP(B35,#REF!,31,FALSE)/1000+HLOOKUP(B35,#REF!,42,FALSE)/1000+HLOOKUP(B35,#REF!,53,FALSE)/1000</f>
        <v>#REF!</v>
      </c>
      <c r="D35" s="14" t="e">
        <f>HLOOKUP(B35,#REF!,12,FALSE)/1000+HLOOKUP(B35,#REF!,32,FALSE)/1000+HLOOKUP(B35,#REF!,43,FALSE)/1000+HLOOKUP(B35,#REF!,54,FALSE)/1000</f>
        <v>#REF!</v>
      </c>
      <c r="E35" s="66" t="e">
        <f>HLOOKUP(B35,#REF!,13,FALSE)/1000+HLOOKUP(B35,#REF!,33,FALSE)/1000+HLOOKUP(B35,#REF!,44,FALSE)/1000+HLOOKUP(B35,#REF!,55,FALSE)/1000</f>
        <v>#REF!</v>
      </c>
      <c r="L35" s="77">
        <v>1.0045525895395629E-2</v>
      </c>
      <c r="N35" s="77">
        <v>8.696328592634462E-3</v>
      </c>
      <c r="P35" s="77">
        <v>8.128343935638261E-3</v>
      </c>
    </row>
    <row r="36" spans="1:16" ht="19.5" x14ac:dyDescent="0.25">
      <c r="A36" s="18">
        <v>34</v>
      </c>
      <c r="B36" s="10" t="s">
        <v>86</v>
      </c>
      <c r="C36" s="14">
        <f>HLOOKUP(B36,[2]Result!$B$1:$AQ$16,3,FALSE)/1000</f>
        <v>183.589</v>
      </c>
      <c r="D36" s="14">
        <f>HLOOKUP(B36,[2]Result!$B$1:$AQ$16,4,FALSE)/1000</f>
        <v>190.49100000000001</v>
      </c>
      <c r="E36" s="15">
        <f>HLOOKUP(B36,[2]Result!$B$1:$AQ$16,5,FALSE)/1000</f>
        <v>228.297</v>
      </c>
      <c r="L36" s="77">
        <v>9.7056847211986919E-3</v>
      </c>
      <c r="N36" s="77">
        <v>8.6516974820722379E-3</v>
      </c>
      <c r="P36" s="77">
        <v>8.0598130762987805E-3</v>
      </c>
    </row>
    <row r="37" spans="1:16" ht="17.25" x14ac:dyDescent="0.25">
      <c r="A37" s="18">
        <v>35</v>
      </c>
      <c r="B37" s="10" t="s">
        <v>63</v>
      </c>
      <c r="C37" s="14">
        <f>HLOOKUP(B37,[2]Result!$B$1:$AQ$16,3,FALSE)/1000</f>
        <v>463.65899999999999</v>
      </c>
      <c r="D37" s="14">
        <f>HLOOKUP(B37,[2]Result!$B$1:$AQ$16,4,FALSE)/1000</f>
        <v>407.91</v>
      </c>
      <c r="E37" s="15">
        <f>HLOOKUP(B37,[2]Result!$B$1:$AQ$16,5,FALSE)/1000</f>
        <v>408.452</v>
      </c>
      <c r="L37" s="77">
        <v>9.2408806134944496E-3</v>
      </c>
      <c r="N37" s="77">
        <v>8.6159376760230923E-3</v>
      </c>
      <c r="P37" s="77">
        <v>7.8044147152876728E-3</v>
      </c>
    </row>
    <row r="38" spans="1:16" ht="18" x14ac:dyDescent="0.25">
      <c r="A38" s="18">
        <v>36</v>
      </c>
      <c r="B38" s="10" t="s">
        <v>54</v>
      </c>
      <c r="C38" s="14">
        <f>HLOOKUP(B38,[2]Result!$B$1:$AQ$16,3,FALSE)/1000</f>
        <v>320.69299999999998</v>
      </c>
      <c r="D38" s="14">
        <f>HLOOKUP(B38,[2]Result!$B$1:$AQ$16,4,FALSE)/1000</f>
        <v>334.43900000000002</v>
      </c>
      <c r="E38" s="15">
        <f>HLOOKUP(B38,[2]Result!$B$1:$AQ$16,5,FALSE)/1000</f>
        <v>395.45299999999997</v>
      </c>
      <c r="L38" s="77">
        <v>9.1054762805504522E-3</v>
      </c>
      <c r="N38" s="77">
        <v>8.4666674165137512E-3</v>
      </c>
      <c r="P38" s="77">
        <v>7.4982250409498614E-3</v>
      </c>
    </row>
    <row r="39" spans="1:16" ht="17.25" x14ac:dyDescent="0.25">
      <c r="A39" s="18">
        <v>37</v>
      </c>
      <c r="B39" s="10" t="s">
        <v>66</v>
      </c>
      <c r="C39" s="14">
        <f>HLOOKUP(B39,[2]Result!$B$1:$AQ$16,3,FALSE)/1000</f>
        <v>356.20699999999999</v>
      </c>
      <c r="D39" s="14">
        <f>HLOOKUP(B39,[2]Result!$B$1:$AQ$16,4,FALSE)/1000</f>
        <v>372.99900000000002</v>
      </c>
      <c r="E39" s="15">
        <f>HLOOKUP(B39,[2]Result!$B$1:$AQ$16,5,FALSE)/1000</f>
        <v>394.036</v>
      </c>
      <c r="L39" s="77">
        <v>8.4701266818810409E-3</v>
      </c>
      <c r="N39" s="77">
        <v>8.3931200776696125E-3</v>
      </c>
      <c r="P39" s="77">
        <v>7.4857781578421311E-3</v>
      </c>
    </row>
    <row r="40" spans="1:16" x14ac:dyDescent="0.25">
      <c r="A40" s="18">
        <v>38</v>
      </c>
      <c r="B40" s="8" t="s">
        <v>34</v>
      </c>
      <c r="C40" s="14" t="e">
        <f>HLOOKUP(B40,#REF!,11,FALSE)/1000+HLOOKUP(B40,#REF!,31,FALSE)/1000+HLOOKUP(B40,#REF!,42,FALSE)/1000+HLOOKUP(B40,#REF!,53,FALSE)/1000</f>
        <v>#REF!</v>
      </c>
      <c r="D40" s="14" t="e">
        <f>HLOOKUP(B40,#REF!,12,FALSE)/1000+HLOOKUP(B40,#REF!,32,FALSE)/1000+HLOOKUP(B40,#REF!,43,FALSE)/1000+HLOOKUP(B40,#REF!,54,FALSE)/1000</f>
        <v>#REF!</v>
      </c>
      <c r="E40" s="66" t="e">
        <f>HLOOKUP(B40,#REF!,13,FALSE)/1000+HLOOKUP(B40,#REF!,33,FALSE)/1000+HLOOKUP(B40,#REF!,44,FALSE)/1000+HLOOKUP(B40,#REF!,55,FALSE)/1000</f>
        <v>#REF!</v>
      </c>
      <c r="L40" s="77">
        <v>8.1730136918519766E-3</v>
      </c>
      <c r="N40" s="77">
        <v>7.9011428759586232E-3</v>
      </c>
      <c r="P40" s="77">
        <v>7.4544784444553897E-3</v>
      </c>
    </row>
    <row r="41" spans="1:16" x14ac:dyDescent="0.25">
      <c r="A41" s="18">
        <v>39</v>
      </c>
      <c r="B41" s="8" t="s">
        <v>24</v>
      </c>
      <c r="C41" s="14" t="e">
        <f>HLOOKUP(B41,#REF!,11,FALSE)/1000+HLOOKUP(B41,#REF!,31,FALSE)/1000+HLOOKUP(B41,#REF!,42,FALSE)/1000+HLOOKUP(B41,#REF!,53,FALSE)/1000</f>
        <v>#REF!</v>
      </c>
      <c r="D41" s="14" t="e">
        <f>HLOOKUP(B41,#REF!,12,FALSE)/1000+HLOOKUP(B41,#REF!,32,FALSE)/1000+HLOOKUP(B41,#REF!,43,FALSE)/1000+HLOOKUP(B41,#REF!,54,FALSE)/1000</f>
        <v>#REF!</v>
      </c>
      <c r="E41" s="66" t="e">
        <f>HLOOKUP(B41,#REF!,13,FALSE)/1000+HLOOKUP(B41,#REF!,33,FALSE)/1000+HLOOKUP(B41,#REF!,44,FALSE)/1000+HLOOKUP(B41,#REF!,55,FALSE)/1000</f>
        <v>#REF!</v>
      </c>
      <c r="L41" s="77">
        <v>8.0883764267085517E-3</v>
      </c>
      <c r="N41" s="77">
        <v>7.0870317096548849E-3</v>
      </c>
      <c r="P41" s="77">
        <v>7.2172393923771146E-3</v>
      </c>
    </row>
    <row r="42" spans="1:16" x14ac:dyDescent="0.25">
      <c r="A42" s="18">
        <v>40</v>
      </c>
      <c r="B42" s="8" t="s">
        <v>35</v>
      </c>
      <c r="C42" s="14" t="e">
        <f>HLOOKUP(B42,#REF!,11,FALSE)/1000+HLOOKUP(B42,#REF!,31,FALSE)/1000+HLOOKUP(B42,#REF!,42,FALSE)/1000+HLOOKUP(B42,#REF!,53,FALSE)/1000</f>
        <v>#REF!</v>
      </c>
      <c r="D42" s="14" t="e">
        <f>HLOOKUP(B42,#REF!,12,FALSE)/1000+HLOOKUP(B42,#REF!,32,FALSE)/1000+HLOOKUP(B42,#REF!,43,FALSE)/1000+HLOOKUP(B42,#REF!,54,FALSE)/1000</f>
        <v>#REF!</v>
      </c>
      <c r="E42" s="66" t="e">
        <f>HLOOKUP(B42,#REF!,13,FALSE)/1000+HLOOKUP(B42,#REF!,33,FALSE)/1000+HLOOKUP(B42,#REF!,44,FALSE)/1000+HLOOKUP(B42,#REF!,55,FALSE)/1000</f>
        <v>#REF!</v>
      </c>
      <c r="L42" s="77">
        <v>8.011180920499749E-3</v>
      </c>
      <c r="N42" s="77">
        <v>7.0793432457435515E-3</v>
      </c>
      <c r="P42" s="77">
        <v>7.2108334452058338E-3</v>
      </c>
    </row>
    <row r="43" spans="1:16" ht="17.25" x14ac:dyDescent="0.25">
      <c r="A43" s="18">
        <v>41</v>
      </c>
      <c r="B43" s="10" t="s">
        <v>60</v>
      </c>
      <c r="C43" s="14">
        <f>HLOOKUP(B43,[2]Result!$B$1:$AQ$16,3,FALSE)/1000</f>
        <v>313.96625</v>
      </c>
      <c r="D43" s="14">
        <f>HLOOKUP(B43,[2]Result!$B$1:$AQ$16,4,FALSE)/1000</f>
        <v>322.77593000000002</v>
      </c>
      <c r="E43" s="15">
        <f>HLOOKUP(B43,[2]Result!$B$1:$AQ$16,5,FALSE)/1000</f>
        <v>323.68115999999998</v>
      </c>
      <c r="L43" s="77">
        <v>6.6568827363017334E-3</v>
      </c>
      <c r="N43" s="77">
        <v>7.0640719286888948E-3</v>
      </c>
      <c r="P43" s="77">
        <v>6.3037075244043433E-3</v>
      </c>
    </row>
    <row r="44" spans="1:16" x14ac:dyDescent="0.25">
      <c r="A44" s="18">
        <v>42</v>
      </c>
      <c r="B44" s="8" t="s">
        <v>43</v>
      </c>
      <c r="C44" s="14" t="e">
        <f>HLOOKUP(B44,#REF!,11,FALSE)/1000+HLOOKUP(B44,#REF!,31,FALSE)/1000+HLOOKUP(B44,#REF!,42,FALSE)/1000+HLOOKUP(B44,#REF!,53,FALSE)/1000</f>
        <v>#REF!</v>
      </c>
      <c r="D44" s="14" t="e">
        <f>HLOOKUP(B44,#REF!,12,FALSE)/1000+HLOOKUP(B44,#REF!,32,FALSE)/1000+HLOOKUP(B44,#REF!,43,FALSE)/1000+HLOOKUP(B44,#REF!,54,FALSE)/1000</f>
        <v>#REF!</v>
      </c>
      <c r="E44" s="66" t="e">
        <f>HLOOKUP(B44,#REF!,13,FALSE)/1000+HLOOKUP(B44,#REF!,33,FALSE)/1000+HLOOKUP(B44,#REF!,44,FALSE)/1000+HLOOKUP(B44,#REF!,55,FALSE)/1000</f>
        <v>#REF!</v>
      </c>
      <c r="L44" s="77">
        <v>6.6375902311184851E-3</v>
      </c>
      <c r="N44" s="77">
        <v>6.9322073798557494E-3</v>
      </c>
      <c r="P44" s="77">
        <v>5.9898577242923721E-3</v>
      </c>
    </row>
    <row r="45" spans="1:16" ht="17.25" x14ac:dyDescent="0.25">
      <c r="A45" s="18">
        <v>43</v>
      </c>
      <c r="B45" s="10" t="s">
        <v>49</v>
      </c>
      <c r="C45" s="14">
        <f>HLOOKUP(B45,[2]Result!$B$1:$AQ$16,3,FALSE)/1000</f>
        <v>248.898</v>
      </c>
      <c r="D45" s="14">
        <f>HLOOKUP(B45,[2]Result!$B$1:$AQ$16,4,FALSE)/1000</f>
        <v>266.43099999999998</v>
      </c>
      <c r="E45" s="15">
        <f>HLOOKUP(B45,[2]Result!$B$1:$AQ$16,5,FALSE)/1000</f>
        <v>305.58300000000003</v>
      </c>
      <c r="L45" s="77">
        <v>6.3432839565396608E-3</v>
      </c>
      <c r="N45" s="77">
        <v>5.8553778109356018E-3</v>
      </c>
      <c r="P45" s="77">
        <v>5.7807194271387811E-3</v>
      </c>
    </row>
    <row r="46" spans="1:16" x14ac:dyDescent="0.25">
      <c r="A46" s="18">
        <v>44</v>
      </c>
      <c r="B46" s="8" t="s">
        <v>38</v>
      </c>
      <c r="C46" s="14" t="e">
        <f>HLOOKUP(B46,#REF!,11,FALSE)/1000+HLOOKUP(B46,#REF!,31,FALSE)/1000+HLOOKUP(B46,#REF!,42,FALSE)/1000+HLOOKUP(B46,#REF!,53,FALSE)/1000</f>
        <v>#REF!</v>
      </c>
      <c r="D46" s="14" t="e">
        <f>HLOOKUP(B46,#REF!,12,FALSE)/1000+HLOOKUP(B46,#REF!,32,FALSE)/1000+HLOOKUP(B46,#REF!,43,FALSE)/1000+HLOOKUP(B46,#REF!,54,FALSE)/1000</f>
        <v>#REF!</v>
      </c>
      <c r="E46" s="66" t="e">
        <f>HLOOKUP(B46,#REF!,13,FALSE)/1000+HLOOKUP(B46,#REF!,33,FALSE)/1000+HLOOKUP(B46,#REF!,44,FALSE)/1000+HLOOKUP(B46,#REF!,55,FALSE)/1000</f>
        <v>#REF!</v>
      </c>
      <c r="L46" s="77">
        <v>6.263820242984346E-3</v>
      </c>
      <c r="N46" s="77">
        <v>5.6275965064855197E-3</v>
      </c>
      <c r="P46" s="77">
        <v>5.577061408664939E-3</v>
      </c>
    </row>
    <row r="47" spans="1:16" ht="17.25" x14ac:dyDescent="0.25">
      <c r="A47" s="18">
        <v>45</v>
      </c>
      <c r="B47" s="10" t="s">
        <v>52</v>
      </c>
      <c r="C47" s="14">
        <f>HLOOKUP(B47,[2]Result!$B$1:$AQ$16,3,FALSE)/1000</f>
        <v>153.93100000000001</v>
      </c>
      <c r="D47" s="14">
        <f>HLOOKUP(B47,[2]Result!$B$1:$AQ$16,4,FALSE)/1000</f>
        <v>156.214</v>
      </c>
      <c r="E47" s="15">
        <f>HLOOKUP(B47,[2]Result!$B$1:$AQ$16,5,FALSE)/1000</f>
        <v>280.39299999999997</v>
      </c>
      <c r="L47" s="77">
        <v>5.5095775865797499E-3</v>
      </c>
      <c r="N47" s="77">
        <v>5.3351391677043782E-3</v>
      </c>
      <c r="P47" s="77">
        <v>5.4956456527359299E-3</v>
      </c>
    </row>
    <row r="48" spans="1:16" ht="18" x14ac:dyDescent="0.25">
      <c r="A48" s="18">
        <v>46</v>
      </c>
      <c r="B48" s="10" t="s">
        <v>79</v>
      </c>
      <c r="C48" s="14">
        <f>HLOOKUP(B48,[2]Result!$B$1:$AQ$16,3,FALSE)/1000</f>
        <v>180.73699999999999</v>
      </c>
      <c r="D48" s="14">
        <f>HLOOKUP(B48,[2]Result!$B$1:$AQ$16,4,FALSE)/1000</f>
        <v>223.67099999999999</v>
      </c>
      <c r="E48" s="15">
        <f>HLOOKUP(B48,[2]Result!$B$1:$AQ$16,5,FALSE)/1000</f>
        <v>279.86700000000002</v>
      </c>
      <c r="L48" s="77">
        <v>5.4823873872997522E-3</v>
      </c>
      <c r="N48" s="77">
        <v>4.9036718667478775E-3</v>
      </c>
      <c r="P48" s="77">
        <v>5.1566779695103116E-3</v>
      </c>
    </row>
    <row r="49" spans="1:16" ht="18" x14ac:dyDescent="0.25">
      <c r="A49" s="18">
        <v>47</v>
      </c>
      <c r="B49" s="10" t="s">
        <v>56</v>
      </c>
      <c r="C49" s="14">
        <f>HLOOKUP(B49,[2]Result!$B$1:$AQ$16,3,FALSE)/1000</f>
        <v>260.44600000000003</v>
      </c>
      <c r="D49" s="14">
        <f>HLOOKUP(B49,[2]Result!$B$1:$AQ$16,4,FALSE)/1000</f>
        <v>277.21499999999997</v>
      </c>
      <c r="E49" s="15">
        <f>HLOOKUP(B49,[2]Result!$B$1:$AQ$16,5,FALSE)/1000</f>
        <v>279.50099999999998</v>
      </c>
      <c r="L49" s="77">
        <v>5.2537034095126054E-3</v>
      </c>
      <c r="N49" s="77">
        <v>4.7244132184397561E-3</v>
      </c>
      <c r="P49" s="77">
        <v>5.1077299629195029E-3</v>
      </c>
    </row>
    <row r="50" spans="1:16" ht="18" x14ac:dyDescent="0.25">
      <c r="A50" s="18">
        <v>48</v>
      </c>
      <c r="B50" s="10" t="s">
        <v>72</v>
      </c>
      <c r="C50" s="14">
        <f>HLOOKUP(B50,[2]Result!$B$1:$AQ$16,3,FALSE)/1000</f>
        <v>206.14500000000001</v>
      </c>
      <c r="D50" s="14">
        <f>HLOOKUP(B50,[2]Result!$B$1:$AQ$16,4,FALSE)/1000</f>
        <v>192.04499999999999</v>
      </c>
      <c r="E50" s="15">
        <f>HLOOKUP(B50,[2]Result!$B$1:$AQ$16,5,FALSE)/1000</f>
        <v>252.55199999999999</v>
      </c>
      <c r="L50" s="77">
        <v>4.6061684402972647E-3</v>
      </c>
      <c r="N50" s="77">
        <v>4.0564039886049732E-3</v>
      </c>
      <c r="P50" s="77">
        <v>5.1010502573220987E-3</v>
      </c>
    </row>
    <row r="51" spans="1:16" ht="17.25" x14ac:dyDescent="0.25">
      <c r="A51" s="18">
        <v>49</v>
      </c>
      <c r="B51" s="10" t="s">
        <v>74</v>
      </c>
      <c r="C51" s="14">
        <f>HLOOKUP(B51,[2]Result!$B$1:$AQ$16,3,FALSE)/1000</f>
        <v>245.78</v>
      </c>
      <c r="D51" s="14">
        <f>HLOOKUP(B51,[2]Result!$B$1:$AQ$16,4,FALSE)/1000</f>
        <v>252.58500000000001</v>
      </c>
      <c r="E51" s="15">
        <f>HLOOKUP(B51,[2]Result!$B$1:$AQ$16,5,FALSE)/1000</f>
        <v>262.57299999999998</v>
      </c>
      <c r="L51" s="77">
        <v>4.5242046015656267E-3</v>
      </c>
      <c r="N51" s="77">
        <v>4.0290191164592459E-3</v>
      </c>
      <c r="P51" s="77">
        <v>4.7921047481613134E-3</v>
      </c>
    </row>
    <row r="52" spans="1:16" ht="18" x14ac:dyDescent="0.25">
      <c r="A52" s="18">
        <v>50</v>
      </c>
      <c r="B52" s="10" t="s">
        <v>78</v>
      </c>
      <c r="C52" s="14">
        <f>HLOOKUP(B52,[2]Result!$B$1:$AQ$16,3,FALSE)/1000</f>
        <v>159.78550000000001</v>
      </c>
      <c r="D52" s="14">
        <f>HLOOKUP(B52,[2]Result!$B$1:$AQ$16,4,FALSE)/1000</f>
        <v>161.62799999999999</v>
      </c>
      <c r="E52" s="15">
        <f>HLOOKUP(B52,[2]Result!$B$1:$AQ$16,5,FALSE)/1000</f>
        <v>217.102</v>
      </c>
      <c r="L52" s="77">
        <v>4.2661667076027655E-3</v>
      </c>
      <c r="N52" s="77">
        <v>4.0068302940997492E-3</v>
      </c>
      <c r="P52" s="77">
        <v>4.6092158689493446E-3</v>
      </c>
    </row>
    <row r="53" spans="1:16" ht="17.25" x14ac:dyDescent="0.25">
      <c r="A53" s="18">
        <v>51</v>
      </c>
      <c r="B53" s="10" t="s">
        <v>50</v>
      </c>
      <c r="C53" s="14">
        <f>HLOOKUP(B53,[2]Result!$B$1:$AQ$16,3,FALSE)/1000</f>
        <v>215.11810999999997</v>
      </c>
      <c r="D53" s="14">
        <f>HLOOKUP(B53,[2]Result!$B$1:$AQ$16,4,FALSE)/1000</f>
        <v>232.15776</v>
      </c>
      <c r="E53" s="15">
        <f>HLOOKUP(B53,[2]Result!$B$1:$AQ$16,5,FALSE)/1000</f>
        <v>206.2415</v>
      </c>
      <c r="L53" s="77">
        <v>4.1543782359573234E-3</v>
      </c>
      <c r="N53" s="77">
        <v>3.8047941490112272E-3</v>
      </c>
      <c r="P53" s="77">
        <v>4.0432294482207138E-3</v>
      </c>
    </row>
    <row r="54" spans="1:16" ht="17.25" x14ac:dyDescent="0.25">
      <c r="A54" s="18">
        <v>52</v>
      </c>
      <c r="B54" s="10" t="s">
        <v>62</v>
      </c>
      <c r="C54" s="14">
        <f>HLOOKUP(B54,[2]Result!$B$1:$AQ$16,3,FALSE)/1000</f>
        <v>163.00964000000002</v>
      </c>
      <c r="D54" s="14">
        <f>HLOOKUP(B54,[2]Result!$B$1:$AQ$16,4,FALSE)/1000</f>
        <v>180.13287</v>
      </c>
      <c r="E54" s="15">
        <f>HLOOKUP(B54,[2]Result!$B$1:$AQ$16,5,FALSE)/1000</f>
        <v>183.64951000000002</v>
      </c>
      <c r="L54" s="77">
        <v>4.1097623425966831E-3</v>
      </c>
      <c r="N54" s="77">
        <v>3.5751357187704851E-3</v>
      </c>
      <c r="P54" s="77">
        <v>3.7640232294177682E-3</v>
      </c>
    </row>
    <row r="55" spans="1:16" ht="18" x14ac:dyDescent="0.25">
      <c r="A55" s="18">
        <v>53</v>
      </c>
      <c r="B55" s="10" t="s">
        <v>58</v>
      </c>
      <c r="C55" s="14">
        <f>HLOOKUP(B55,[2]Result!$B$1:$AQ$16,3,FALSE)/1000</f>
        <v>176.30089999999998</v>
      </c>
      <c r="D55" s="14">
        <f>HLOOKUP(B55,[2]Result!$B$1:$AQ$16,4,FALSE)/1000</f>
        <v>190.24250000000001</v>
      </c>
      <c r="E55" s="15">
        <f>HLOOKUP(B55,[2]Result!$B$1:$AQ$16,5,FALSE)/1000</f>
        <v>200.0402</v>
      </c>
      <c r="L55" s="77">
        <v>3.524157079583849E-3</v>
      </c>
      <c r="N55" s="77">
        <v>3.5411079293167494E-3</v>
      </c>
      <c r="P55" s="77">
        <v>3.6600333536706488E-3</v>
      </c>
    </row>
    <row r="56" spans="1:16" ht="16.5" x14ac:dyDescent="0.25">
      <c r="A56" s="18">
        <v>54</v>
      </c>
      <c r="B56" s="10" t="s">
        <v>70</v>
      </c>
      <c r="C56" s="14">
        <f>HLOOKUP(B56,[2]Result!$B$1:$AQ$16,3,FALSE)/1000</f>
        <v>138.28100000000001</v>
      </c>
      <c r="D56" s="14">
        <f>HLOOKUP(B56,[2]Result!$B$1:$AQ$16,4,FALSE)/1000</f>
        <v>169.26</v>
      </c>
      <c r="E56" s="15">
        <f>HLOOKUP(B56,[2]Result!$B$1:$AQ$16,5,FALSE)/1000</f>
        <v>199.97499999999999</v>
      </c>
      <c r="L56" s="77">
        <v>3.4654571477299207E-3</v>
      </c>
      <c r="N56" s="77">
        <v>3.3997373552547686E-3</v>
      </c>
      <c r="P56" s="77">
        <v>3.6496560842644095E-3</v>
      </c>
    </row>
    <row r="57" spans="1:16" ht="17.25" x14ac:dyDescent="0.25">
      <c r="A57" s="18">
        <v>55</v>
      </c>
      <c r="B57" s="10" t="s">
        <v>57</v>
      </c>
      <c r="C57" s="14">
        <f>HLOOKUP(B57,[2]Result!$B$1:$AQ$16,3,FALSE)/1000</f>
        <v>135.97773000000001</v>
      </c>
      <c r="D57" s="14">
        <f>HLOOKUP(B57,[2]Result!$B$1:$AQ$16,4,FALSE)/1000</f>
        <v>152.31223</v>
      </c>
      <c r="E57" s="15">
        <f>HLOOKUP(B57,[2]Result!$B$1:$AQ$16,5,FALSE)/1000</f>
        <v>189.07205999999999</v>
      </c>
      <c r="L57" s="77">
        <v>2.9337095761683501E-3</v>
      </c>
      <c r="N57" s="77">
        <v>3.2171623176095085E-3</v>
      </c>
      <c r="P57" s="77">
        <v>3.4506713046301061E-3</v>
      </c>
    </row>
    <row r="58" spans="1:16" ht="18" x14ac:dyDescent="0.25">
      <c r="A58" s="18">
        <v>56</v>
      </c>
      <c r="B58" s="10" t="s">
        <v>65</v>
      </c>
      <c r="C58" s="14">
        <f>HLOOKUP(B58,[2]Result!$B$1:$AQ$16,3,FALSE)/1000</f>
        <v>88.415000000000006</v>
      </c>
      <c r="D58" s="14">
        <f>HLOOKUP(B58,[2]Result!$B$1:$AQ$16,4,FALSE)/1000</f>
        <v>139.83799999999999</v>
      </c>
      <c r="E58" s="15">
        <f>HLOOKUP(B58,[2]Result!$B$1:$AQ$16,5,FALSE)/1000</f>
        <v>172.869</v>
      </c>
      <c r="L58" s="77">
        <v>2.6498268611931581E-3</v>
      </c>
      <c r="N58" s="77">
        <v>2.9536797154757597E-3</v>
      </c>
      <c r="P58" s="77">
        <v>3.3517067210585205E-3</v>
      </c>
    </row>
    <row r="59" spans="1:16" ht="18" x14ac:dyDescent="0.25">
      <c r="A59" s="18">
        <v>57</v>
      </c>
      <c r="B59" s="10" t="s">
        <v>61</v>
      </c>
      <c r="C59" s="14">
        <f>HLOOKUP(B59,[2]Result!$B$1:$AQ$16,3,FALSE)/1000</f>
        <v>115.113</v>
      </c>
      <c r="D59" s="14">
        <f>HLOOKUP(B59,[2]Result!$B$1:$AQ$16,4,FALSE)/1000</f>
        <v>121.25328999999999</v>
      </c>
      <c r="E59" s="15">
        <f>HLOOKUP(B59,[2]Result!$B$1:$AQ$16,5,FALSE)/1000</f>
        <v>127.58982</v>
      </c>
      <c r="L59" s="77">
        <v>2.2956134077715944E-3</v>
      </c>
      <c r="N59" s="77">
        <v>2.6537028900121035E-3</v>
      </c>
      <c r="P59" s="77">
        <v>3.1549563576982334E-3</v>
      </c>
    </row>
    <row r="60" spans="1:16" ht="16.5" x14ac:dyDescent="0.25">
      <c r="A60" s="18">
        <v>58</v>
      </c>
      <c r="B60" s="10" t="s">
        <v>85</v>
      </c>
      <c r="C60" s="14">
        <f>HLOOKUP(B60,[2]Result!$B$1:$AQ$16,3,FALSE)/1000</f>
        <v>85.987160000000003</v>
      </c>
      <c r="D60" s="14">
        <f>HLOOKUP(B60,[2]Result!$B$1:$AQ$16,4,FALSE)/1000</f>
        <v>110.97563000000001</v>
      </c>
      <c r="E60" s="15">
        <f>HLOOKUP(B60,[2]Result!$B$1:$AQ$16,5,FALSE)/1000</f>
        <v>104.62194000000001</v>
      </c>
      <c r="L60" s="77">
        <v>2.2532983431664943E-3</v>
      </c>
      <c r="N60" s="77">
        <v>2.5611306161965972E-3</v>
      </c>
      <c r="P60" s="77">
        <v>2.3285858875019419E-3</v>
      </c>
    </row>
    <row r="61" spans="1:16" ht="18" x14ac:dyDescent="0.25">
      <c r="A61" s="18">
        <v>59</v>
      </c>
      <c r="B61" s="10" t="s">
        <v>68</v>
      </c>
      <c r="C61" s="14">
        <f>HLOOKUP(B61,[2]Result!$B$1:$AQ$16,3,FALSE)/1000</f>
        <v>90.075360000000003</v>
      </c>
      <c r="D61" s="14">
        <f>HLOOKUP(B61,[2]Result!$B$1:$AQ$16,4,FALSE)/1000</f>
        <v>102.57114</v>
      </c>
      <c r="E61" s="15">
        <f>HLOOKUP(B61,[2]Result!$B$1:$AQ$16,5,FALSE)/1000</f>
        <v>105.87039</v>
      </c>
      <c r="L61" s="77">
        <v>2.1914236855917237E-3</v>
      </c>
      <c r="N61" s="77">
        <v>2.344044303001639E-3</v>
      </c>
      <c r="P61" s="77">
        <v>1.9321940892958916E-3</v>
      </c>
    </row>
    <row r="62" spans="1:16" ht="18" x14ac:dyDescent="0.25">
      <c r="A62" s="18">
        <v>60</v>
      </c>
      <c r="B62" s="10" t="s">
        <v>55</v>
      </c>
      <c r="C62" s="14">
        <f>HLOOKUP(B62,[2]Result!$B$1:$AQ$16,3,FALSE)/1000</f>
        <v>64.868769999999998</v>
      </c>
      <c r="D62" s="14">
        <f>HLOOKUP(B62,[2]Result!$B$1:$AQ$16,4,FALSE)/1000</f>
        <v>69.107470000000006</v>
      </c>
      <c r="E62" s="15">
        <f>HLOOKUP(B62,[2]Result!$B$1:$AQ$16,5,FALSE)/1000</f>
        <v>70.476259999999996</v>
      </c>
      <c r="L62" s="77">
        <v>1.7328339563074074E-3</v>
      </c>
      <c r="N62" s="77">
        <v>2.1665233742704008E-3</v>
      </c>
      <c r="P62" s="77">
        <v>1.9094091754896664E-3</v>
      </c>
    </row>
    <row r="63" spans="1:16" ht="17.25" x14ac:dyDescent="0.25">
      <c r="A63" s="18">
        <v>61</v>
      </c>
      <c r="B63" s="10" t="s">
        <v>76</v>
      </c>
      <c r="C63" s="14">
        <f>HLOOKUP(B63,[2]Result!$B$1:$AQ$16,3,FALSE)/1000</f>
        <v>67.992999999999995</v>
      </c>
      <c r="D63" s="14">
        <f>HLOOKUP(B63,[2]Result!$B$1:$AQ$16,4,FALSE)/1000</f>
        <v>71.536000000000001</v>
      </c>
      <c r="E63" s="15">
        <f>HLOOKUP(B63,[2]Result!$B$1:$AQ$16,5,FALSE)/1000</f>
        <v>67.665000000000006</v>
      </c>
      <c r="L63" s="77">
        <v>1.6532114682378373E-3</v>
      </c>
      <c r="N63" s="77">
        <v>1.5109943801132307E-3</v>
      </c>
      <c r="P63" s="77">
        <v>1.2862313344428075E-3</v>
      </c>
    </row>
    <row r="64" spans="1:16" ht="17.25" x14ac:dyDescent="0.25">
      <c r="A64" s="18">
        <v>62</v>
      </c>
      <c r="B64" s="10" t="s">
        <v>77</v>
      </c>
      <c r="C64" s="14">
        <f>HLOOKUP(B64,[2]Result!$B$1:$AQ$16,3,FALSE)/1000</f>
        <v>53.201999999999998</v>
      </c>
      <c r="D64" s="14">
        <f>HLOOKUP(B64,[2]Result!$B$1:$AQ$16,4,FALSE)/1000</f>
        <v>66.576999999999998</v>
      </c>
      <c r="E64" s="15">
        <f>HLOOKUP(B64,[2]Result!$B$1:$AQ$16,5,FALSE)/1000</f>
        <v>63.335000000000001</v>
      </c>
      <c r="F64" s="109"/>
      <c r="L64" s="77">
        <v>1.4409233164541133E-3</v>
      </c>
      <c r="N64" s="77">
        <v>1.4596985964247888E-3</v>
      </c>
      <c r="P64" s="77">
        <v>1.2349242602412867E-3</v>
      </c>
    </row>
    <row r="65" spans="1:16" ht="18.75" x14ac:dyDescent="0.25">
      <c r="A65" s="18">
        <v>63</v>
      </c>
      <c r="B65" s="10" t="s">
        <v>64</v>
      </c>
      <c r="C65" s="14">
        <f>HLOOKUP(B65,[2]Result!$B$1:$AQ$16,3,FALSE)/1000</f>
        <v>33.173070000000003</v>
      </c>
      <c r="D65" s="14">
        <f>HLOOKUP(B65,[2]Result!$B$1:$AQ$16,4,FALSE)/1000</f>
        <v>45.492239999999995</v>
      </c>
      <c r="E65" s="15">
        <f>HLOOKUP(B65,[2]Result!$B$1:$AQ$16,5,FALSE)/1000</f>
        <v>60.374209999999998</v>
      </c>
      <c r="F65" s="109"/>
      <c r="L65" s="77">
        <v>1.3558782836978322E-3</v>
      </c>
      <c r="N65" s="77">
        <v>1.406249620398101E-3</v>
      </c>
      <c r="P65" s="77">
        <v>1.1558993279004194E-3</v>
      </c>
    </row>
    <row r="66" spans="1:16" x14ac:dyDescent="0.25">
      <c r="A66" s="18">
        <v>64</v>
      </c>
      <c r="B66" s="8" t="s">
        <v>17</v>
      </c>
      <c r="C66" s="14" t="e">
        <f>HLOOKUP(B66,#REF!,11,FALSE)/1000+HLOOKUP(B66,#REF!,31,FALSE)/1000+HLOOKUP(B66,#REF!,42,FALSE)/1000+HLOOKUP(B66,#REF!,53,FALSE)/1000</f>
        <v>#REF!</v>
      </c>
      <c r="D66" s="107" t="e">
        <f>HLOOKUP(B66,#REF!,12,FALSE)/1000+HLOOKUP(B66,#REF!,32,FALSE)/1000+HLOOKUP(B66,#REF!,43,FALSE)/1000+HLOOKUP(B66,#REF!,54,FALSE)/1000</f>
        <v>#REF!</v>
      </c>
      <c r="E66" s="108" t="e">
        <f>HLOOKUP(B66,#REF!,13,FALSE)/1000+HLOOKUP(B66,#REF!,33,FALSE)/1000+HLOOKUP(B66,#REF!,44,FALSE)/1000+HLOOKUP(B66,#REF!,55,FALSE)/1000</f>
        <v>#REF!</v>
      </c>
      <c r="F66" s="109"/>
      <c r="L66" s="77">
        <v>1.3138272486220564E-3</v>
      </c>
      <c r="N66" s="77">
        <v>9.6089408100484108E-4</v>
      </c>
      <c r="P66" s="77">
        <v>1.101863247201686E-3</v>
      </c>
    </row>
    <row r="67" spans="1:16" ht="17.25" x14ac:dyDescent="0.25">
      <c r="A67" s="18">
        <v>65</v>
      </c>
      <c r="B67" s="10" t="s">
        <v>81</v>
      </c>
      <c r="C67" s="14">
        <f>HLOOKUP(B67,[2]Result!$B$1:$AQ$16,3,FALSE)/1000</f>
        <v>32.255000000000003</v>
      </c>
      <c r="D67" s="14">
        <f>HLOOKUP(B67,[2]Result!$B$1:$AQ$16,4,FALSE)/1000</f>
        <v>33.284999999999997</v>
      </c>
      <c r="E67" s="15">
        <f>HLOOKUP(B67,[2]Result!$B$1:$AQ$16,5,FALSE)/1000</f>
        <v>28.347999999999999</v>
      </c>
      <c r="F67" s="109"/>
      <c r="L67" s="77">
        <v>8.4543147281282752E-4</v>
      </c>
      <c r="N67" s="77">
        <v>7.0305088266144154E-4</v>
      </c>
      <c r="P67" s="77">
        <v>7.7141474369140175E-4</v>
      </c>
    </row>
    <row r="68" spans="1:16" x14ac:dyDescent="0.25">
      <c r="A68" s="18">
        <v>66</v>
      </c>
      <c r="B68" s="8" t="s">
        <v>16</v>
      </c>
      <c r="C68" s="14" t="e">
        <f>HLOOKUP(B68,#REF!,11,FALSE)/1000+HLOOKUP(B68,#REF!,31,FALSE)/1000+HLOOKUP(B68,#REF!,42,FALSE)/1000+HLOOKUP(B68,#REF!,53,FALSE)/1000</f>
        <v>#REF!</v>
      </c>
      <c r="D68" s="107" t="e">
        <f>HLOOKUP(B68,#REF!,12,FALSE)/1000+HLOOKUP(B68,#REF!,32,FALSE)/1000+HLOOKUP(B68,#REF!,43,FALSE)/1000+HLOOKUP(B68,#REF!,54,FALSE)/1000</f>
        <v>#REF!</v>
      </c>
      <c r="E68" s="108" t="e">
        <f>HLOOKUP(B68,#REF!,13,FALSE)/1000+HLOOKUP(B68,#REF!,33,FALSE)/1000+HLOOKUP(B68,#REF!,44,FALSE)/1000+HLOOKUP(B68,#REF!,55,FALSE)/1000</f>
        <v>#REF!</v>
      </c>
      <c r="F68" s="109"/>
      <c r="L68" s="77">
        <v>8.2203402204190782E-4</v>
      </c>
      <c r="N68" s="77">
        <v>6.9479212060283779E-4</v>
      </c>
      <c r="P68" s="77">
        <v>5.1736692424916852E-4</v>
      </c>
    </row>
    <row r="69" spans="1:16" x14ac:dyDescent="0.25">
      <c r="A69" s="18">
        <v>67</v>
      </c>
      <c r="B69" s="8" t="s">
        <v>37</v>
      </c>
      <c r="C69" s="14" t="e">
        <f>HLOOKUP(B69,#REF!,11,FALSE)/1000+HLOOKUP(B69,#REF!,31,FALSE)/1000+HLOOKUP(B69,#REF!,42,FALSE)/1000+HLOOKUP(B69,#REF!,53,FALSE)/1000</f>
        <v>#REF!</v>
      </c>
      <c r="D69" s="107" t="e">
        <f>HLOOKUP(B69,#REF!,12,FALSE)/1000+HLOOKUP(B69,#REF!,32,FALSE)/1000+HLOOKUP(B69,#REF!,43,FALSE)/1000+HLOOKUP(B69,#REF!,54,FALSE)/1000</f>
        <v>#REF!</v>
      </c>
      <c r="E69" s="108" t="e">
        <f>HLOOKUP(B69,#REF!,13,FALSE)/1000+HLOOKUP(B69,#REF!,33,FALSE)/1000+HLOOKUP(B69,#REF!,44,FALSE)/1000+HLOOKUP(B69,#REF!,55,FALSE)/1000</f>
        <v>#REF!</v>
      </c>
      <c r="F69" s="109"/>
      <c r="L69" s="77">
        <v>5.2809983540981541E-4</v>
      </c>
      <c r="N69" s="77">
        <v>4.4263857565320813E-4</v>
      </c>
      <c r="P69" s="77">
        <v>4.7708793448559037E-4</v>
      </c>
    </row>
    <row r="70" spans="1:16" x14ac:dyDescent="0.25">
      <c r="A70" s="18">
        <v>68</v>
      </c>
      <c r="B70" s="41" t="s">
        <v>14</v>
      </c>
      <c r="C70" s="14" t="e">
        <f>HLOOKUP(B70,#REF!,11,FALSE)/1000+HLOOKUP(B70,#REF!,31,FALSE)/1000+HLOOKUP(B70,#REF!,42,FALSE)/1000+HLOOKUP(B70,#REF!,53,FALSE)/1000</f>
        <v>#REF!</v>
      </c>
      <c r="D70" s="107" t="e">
        <f>HLOOKUP(B70,#REF!,12,FALSE)/1000+HLOOKUP(B70,#REF!,32,FALSE)/1000+HLOOKUP(B70,#REF!,43,FALSE)/1000+HLOOKUP(B70,#REF!,54,FALSE)/1000</f>
        <v>#REF!</v>
      </c>
      <c r="E70" s="108" t="e">
        <f>HLOOKUP(B70,#REF!,13,FALSE)/1000+HLOOKUP(B70,#REF!,33,FALSE)/1000+HLOOKUP(B70,#REF!,44,FALSE)/1000+HLOOKUP(B70,#REF!,55,FALSE)/1000</f>
        <v>#REF!</v>
      </c>
      <c r="F70" s="109"/>
      <c r="L70" s="77">
        <v>4.6860144359896319E-4</v>
      </c>
      <c r="N70" s="77">
        <v>4.4109393368240601E-4</v>
      </c>
      <c r="P70" s="77">
        <v>4.3735646157425833E-4</v>
      </c>
    </row>
    <row r="71" spans="1:16" x14ac:dyDescent="0.25">
      <c r="A71" s="18">
        <v>69</v>
      </c>
      <c r="B71" s="72" t="s">
        <v>115</v>
      </c>
      <c r="C71" s="14" t="e">
        <f>HLOOKUP(B71,#REF!,11,FALSE)/1000+HLOOKUP(B71,#REF!,31,FALSE)/1000+HLOOKUP(B71,#REF!,42,FALSE)/1000+HLOOKUP(B71,#REF!,53,FALSE)/1000</f>
        <v>#REF!</v>
      </c>
      <c r="D71" s="107" t="e">
        <f>HLOOKUP(B71,#REF!,12,FALSE)/1000+HLOOKUP(B71,#REF!,32,FALSE)/1000+HLOOKUP(B71,#REF!,43,FALSE)/1000+HLOOKUP(B71,#REF!,54,FALSE)/1000</f>
        <v>#REF!</v>
      </c>
      <c r="E71" s="108" t="e">
        <f>HLOOKUP(B71,#REF!,13,FALSE)/1000+HLOOKUP(B71,#REF!,33,FALSE)/1000+HLOOKUP(B71,#REF!,44,FALSE)/1000+HLOOKUP(B71,#REF!,55,FALSE)/1000</f>
        <v>#REF!</v>
      </c>
      <c r="F71" s="109"/>
    </row>
    <row r="72" spans="1:16" ht="18" x14ac:dyDescent="0.25">
      <c r="A72" s="18">
        <v>70</v>
      </c>
      <c r="B72" s="10" t="s">
        <v>116</v>
      </c>
      <c r="C72" s="14">
        <f>HLOOKUP(B72,[2]Result!$B$1:$AQ$16,3,FALSE)/1000</f>
        <v>427.15459999999996</v>
      </c>
      <c r="D72" s="14">
        <f>HLOOKUP(B72,[2]Result!$B$1:$AQ$16,4,FALSE)/1000</f>
        <v>356.76309999999995</v>
      </c>
      <c r="E72" s="15">
        <f>HLOOKUP(B72,[2]Result!$B$1:$AQ$16,5,FALSE)/1000</f>
        <v>441.89042000000001</v>
      </c>
    </row>
    <row r="73" spans="1:16" s="109" customFormat="1" ht="17.25" x14ac:dyDescent="0.25">
      <c r="A73" s="110"/>
      <c r="B73" s="111" t="s">
        <v>226</v>
      </c>
      <c r="C73" s="14">
        <f>HLOOKUP(B73,[2]Result!$B$1:$AQ$16,3,FALSE)/1000</f>
        <v>329.56599999999997</v>
      </c>
      <c r="D73" s="14">
        <f>HLOOKUP(B73,[2]Result!$B$1:$AQ$16,4,FALSE)/1000</f>
        <v>333.96600000000001</v>
      </c>
      <c r="E73" s="15">
        <f>HLOOKUP(B73,[2]Result!$B$1:$AQ$16,5,FALSE)/1000</f>
        <v>361.65699999999998</v>
      </c>
    </row>
    <row r="74" spans="1:16" s="109" customFormat="1" ht="16.5" x14ac:dyDescent="0.25">
      <c r="A74" s="110"/>
      <c r="B74" s="111" t="s">
        <v>228</v>
      </c>
      <c r="C74" s="14" t="e">
        <f>HLOOKUP(B74,#REF!,11,FALSE)/1000+HLOOKUP(B74,#REF!,31,FALSE)/1000+HLOOKUP(B74,#REF!,42,FALSE)/1000+HLOOKUP(B74,#REF!,53,FALSE)/1000</f>
        <v>#REF!</v>
      </c>
      <c r="D74" s="107" t="e">
        <f>HLOOKUP(B74,#REF!,12,FALSE)/1000+HLOOKUP(B74,#REF!,32,FALSE)/1000+HLOOKUP(B74,#REF!,43,FALSE)/1000+HLOOKUP(B74,#REF!,54,FALSE)/1000</f>
        <v>#REF!</v>
      </c>
      <c r="E74" s="108" t="e">
        <f>HLOOKUP(B74,#REF!,13,FALSE)/1000+HLOOKUP(B74,#REF!,33,FALSE)/1000+HLOOKUP(B74,#REF!,44,FALSE)/1000+HLOOKUP(B74,#REF!,55,FALSE)/1000</f>
        <v>#REF!</v>
      </c>
    </row>
    <row r="75" spans="1:16" x14ac:dyDescent="0.25">
      <c r="C75" s="14" t="e">
        <f>SUM(C3:C71)</f>
        <v>#REF!</v>
      </c>
      <c r="D75" s="14" t="e">
        <f t="shared" ref="D75" si="0">SUM(D3:D71)</f>
        <v>#REF!</v>
      </c>
      <c r="E75" s="14" t="e">
        <f>SUM(E3:E72)</f>
        <v>#REF!</v>
      </c>
    </row>
    <row r="76" spans="1:16" x14ac:dyDescent="0.25">
      <c r="F76" s="7" t="e">
        <f>E75/D75</f>
        <v>#REF!</v>
      </c>
    </row>
    <row r="78" spans="1:16" x14ac:dyDescent="0.25">
      <c r="D78" s="103" t="e">
        <f>D75/C75-1</f>
        <v>#REF!</v>
      </c>
      <c r="E78" s="103" t="e">
        <f>E75/D75-1</f>
        <v>#REF!</v>
      </c>
    </row>
  </sheetData>
  <autoFilter ref="A2:Z76" xr:uid="{647CDFB8-C6CC-4B32-99C6-72B0F2130904}"/>
  <sortState xmlns:xlrd2="http://schemas.microsoft.com/office/spreadsheetml/2017/richdata2" ref="P1:P82">
    <sortCondition descending="1" ref="P1"/>
  </sortState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81BF5-4F5F-4F31-A05A-59DEC49548DD}">
  <sheetPr codeName="Лист13">
    <tabColor theme="9" tint="0.79998168889431442"/>
  </sheetPr>
  <dimension ref="A1:AL84"/>
  <sheetViews>
    <sheetView tabSelected="1" workbookViewId="0"/>
  </sheetViews>
  <sheetFormatPr defaultRowHeight="15" x14ac:dyDescent="0.25"/>
  <cols>
    <col min="1" max="1" width="9.140625" style="19"/>
    <col min="2" max="2" width="47.28515625" style="50" customWidth="1"/>
    <col min="3" max="4" width="15.7109375" style="57" customWidth="1"/>
    <col min="5" max="6" width="12.42578125" style="139" customWidth="1"/>
    <col min="7" max="7" width="13.28515625" customWidth="1"/>
    <col min="8" max="8" width="13.28515625" style="45" customWidth="1"/>
    <col min="9" max="9" width="11" style="45" bestFit="1" customWidth="1"/>
    <col min="10" max="10" width="28.42578125" style="45" customWidth="1"/>
    <col min="11" max="27" width="9.140625" style="45"/>
  </cols>
  <sheetData>
    <row r="1" spans="1:37" s="45" customFormat="1" x14ac:dyDescent="0.25">
      <c r="A1" s="20" t="s">
        <v>322</v>
      </c>
      <c r="B1" s="50"/>
      <c r="C1" s="57"/>
      <c r="D1" s="57"/>
      <c r="E1" s="139"/>
      <c r="F1" s="139"/>
    </row>
    <row r="2" spans="1:37" s="11" customFormat="1" ht="45" customHeight="1" x14ac:dyDescent="0.25">
      <c r="A2" s="130" t="s">
        <v>265</v>
      </c>
      <c r="B2" s="130" t="s">
        <v>0</v>
      </c>
      <c r="C2" s="130" t="s">
        <v>323</v>
      </c>
      <c r="D2" s="130" t="s">
        <v>324</v>
      </c>
      <c r="E2" s="140" t="s">
        <v>28</v>
      </c>
      <c r="F2" s="170"/>
      <c r="G2" s="12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/>
      <c r="AC2"/>
      <c r="AD2"/>
      <c r="AE2"/>
      <c r="AF2" s="12"/>
      <c r="AG2" s="12"/>
      <c r="AH2" s="12"/>
      <c r="AI2" s="13"/>
      <c r="AJ2" s="12"/>
      <c r="AK2" s="12"/>
    </row>
    <row r="3" spans="1:37" ht="15" customHeight="1" x14ac:dyDescent="0.25">
      <c r="A3" s="30">
        <v>1</v>
      </c>
      <c r="B3" s="124" t="s">
        <v>8</v>
      </c>
      <c r="C3" s="150">
        <v>7186.7530000000006</v>
      </c>
      <c r="D3" s="150">
        <v>5372.3880000000008</v>
      </c>
      <c r="E3" s="127">
        <f t="shared" ref="E3:E16" si="0">(C3/D3-1)*100</f>
        <v>33.772039547404241</v>
      </c>
      <c r="F3" s="171">
        <v>4205271785</v>
      </c>
      <c r="H3" s="3"/>
      <c r="I3" s="3"/>
      <c r="AC3" s="8"/>
    </row>
    <row r="4" spans="1:37" ht="15" customHeight="1" x14ac:dyDescent="0.25">
      <c r="A4" s="30">
        <v>2</v>
      </c>
      <c r="B4" s="124" t="s">
        <v>325</v>
      </c>
      <c r="C4" s="150">
        <v>6687.1879999999992</v>
      </c>
      <c r="D4" s="150">
        <v>6099.1909999999998</v>
      </c>
      <c r="E4" s="127">
        <f t="shared" si="0"/>
        <v>9.6405736432913613</v>
      </c>
      <c r="F4" s="148" t="s">
        <v>326</v>
      </c>
      <c r="H4" s="3"/>
      <c r="I4" s="3"/>
      <c r="AC4" s="8"/>
    </row>
    <row r="5" spans="1:37" s="45" customFormat="1" ht="15" customHeight="1" x14ac:dyDescent="0.25">
      <c r="A5" s="30">
        <v>3</v>
      </c>
      <c r="B5" s="124" t="s">
        <v>256</v>
      </c>
      <c r="C5" s="150">
        <v>4724.2039999999997</v>
      </c>
      <c r="D5" s="150">
        <v>2711.4229999999998</v>
      </c>
      <c r="E5" s="127">
        <f t="shared" si="0"/>
        <v>74.233382249837092</v>
      </c>
      <c r="F5" s="171" t="s">
        <v>258</v>
      </c>
      <c r="H5" s="3"/>
      <c r="I5" s="3"/>
      <c r="AC5" s="8"/>
    </row>
    <row r="6" spans="1:37" ht="15" customHeight="1" x14ac:dyDescent="0.25">
      <c r="A6" s="30">
        <v>4</v>
      </c>
      <c r="B6" s="124" t="s">
        <v>251</v>
      </c>
      <c r="C6" s="150">
        <v>3755.8690000000001</v>
      </c>
      <c r="D6" s="150">
        <v>3392.6419999999998</v>
      </c>
      <c r="E6" s="127">
        <f t="shared" si="0"/>
        <v>10.706316787919267</v>
      </c>
      <c r="F6" s="171" t="s">
        <v>18</v>
      </c>
      <c r="H6" s="3"/>
      <c r="I6" s="3"/>
      <c r="AC6" s="8"/>
    </row>
    <row r="7" spans="1:37" s="45" customFormat="1" ht="15" customHeight="1" x14ac:dyDescent="0.25">
      <c r="A7" s="30">
        <v>5</v>
      </c>
      <c r="B7" s="124" t="s">
        <v>237</v>
      </c>
      <c r="C7" s="150">
        <v>3524.8212822999999</v>
      </c>
      <c r="D7" s="150">
        <v>3264.2433960000003</v>
      </c>
      <c r="E7" s="127">
        <f t="shared" si="0"/>
        <v>7.9827958484747663</v>
      </c>
      <c r="F7" s="171">
        <v>7730634468</v>
      </c>
      <c r="H7" s="3"/>
      <c r="I7" s="3"/>
      <c r="AC7" s="8"/>
    </row>
    <row r="8" spans="1:37" ht="15" customHeight="1" x14ac:dyDescent="0.25">
      <c r="A8" s="30">
        <v>6</v>
      </c>
      <c r="B8" s="124" t="s">
        <v>19</v>
      </c>
      <c r="C8" s="150">
        <v>3502.8469999999998</v>
      </c>
      <c r="D8" s="150">
        <v>4511.1009999999997</v>
      </c>
      <c r="E8" s="127">
        <f t="shared" si="0"/>
        <v>-22.35050822404553</v>
      </c>
      <c r="F8" s="171">
        <v>7704784072</v>
      </c>
      <c r="H8" s="3"/>
      <c r="I8" s="3"/>
      <c r="AC8" s="8"/>
    </row>
    <row r="9" spans="1:37" ht="15" customHeight="1" x14ac:dyDescent="0.25">
      <c r="A9" s="30">
        <v>7</v>
      </c>
      <c r="B9" s="124" t="s">
        <v>213</v>
      </c>
      <c r="C9" s="150">
        <v>3432.3029999999999</v>
      </c>
      <c r="D9" s="150">
        <v>2385.61</v>
      </c>
      <c r="E9" s="127">
        <f t="shared" si="0"/>
        <v>43.875277182775044</v>
      </c>
      <c r="F9" s="171" t="s">
        <v>214</v>
      </c>
      <c r="G9" s="45"/>
      <c r="H9" s="3"/>
      <c r="I9" s="3"/>
      <c r="AC9" s="8"/>
    </row>
    <row r="10" spans="1:37" s="45" customFormat="1" ht="15" customHeight="1" x14ac:dyDescent="0.25">
      <c r="A10" s="30">
        <v>8</v>
      </c>
      <c r="B10" s="124" t="s">
        <v>33</v>
      </c>
      <c r="C10" s="150">
        <v>2810.5339999999997</v>
      </c>
      <c r="D10" s="150">
        <v>2349.1759999999999</v>
      </c>
      <c r="E10" s="127">
        <f t="shared" si="0"/>
        <v>19.639141554315209</v>
      </c>
      <c r="F10" s="171">
        <v>5410059568</v>
      </c>
      <c r="H10" s="3"/>
      <c r="I10" s="3"/>
      <c r="AC10" s="8"/>
    </row>
    <row r="11" spans="1:37" s="45" customFormat="1" ht="15" customHeight="1" x14ac:dyDescent="0.25">
      <c r="A11" s="30">
        <v>9</v>
      </c>
      <c r="B11" s="124" t="s">
        <v>287</v>
      </c>
      <c r="C11" s="150">
        <v>2575.1217209999995</v>
      </c>
      <c r="D11" s="150">
        <v>1604.4359359999999</v>
      </c>
      <c r="E11" s="127">
        <f t="shared" si="0"/>
        <v>60.500127379345848</v>
      </c>
      <c r="F11" s="45" t="s">
        <v>288</v>
      </c>
      <c r="H11" s="3"/>
      <c r="I11" s="3"/>
      <c r="AC11" s="8"/>
    </row>
    <row r="12" spans="1:37" s="45" customFormat="1" ht="15" customHeight="1" x14ac:dyDescent="0.25">
      <c r="A12" s="30">
        <v>10</v>
      </c>
      <c r="B12" s="124" t="s">
        <v>211</v>
      </c>
      <c r="C12" s="150">
        <v>2422.0709999999999</v>
      </c>
      <c r="D12" s="150">
        <v>1575.1610000000001</v>
      </c>
      <c r="E12" s="127">
        <f t="shared" si="0"/>
        <v>53.766567354067284</v>
      </c>
      <c r="F12" s="171">
        <v>7716748537</v>
      </c>
      <c r="H12" s="3"/>
      <c r="I12" s="3"/>
      <c r="AC12" s="8"/>
    </row>
    <row r="13" spans="1:37" s="45" customFormat="1" ht="15" customHeight="1" x14ac:dyDescent="0.25">
      <c r="A13" s="30">
        <v>11</v>
      </c>
      <c r="B13" s="124" t="s">
        <v>284</v>
      </c>
      <c r="C13" s="150">
        <v>2417.0189999999998</v>
      </c>
      <c r="D13" s="150">
        <v>2495.192</v>
      </c>
      <c r="E13" s="127">
        <f t="shared" si="0"/>
        <v>-3.1329452803632085</v>
      </c>
      <c r="F13" s="45" t="s">
        <v>114</v>
      </c>
      <c r="H13" s="3"/>
      <c r="I13" s="3"/>
      <c r="AC13" s="8"/>
    </row>
    <row r="14" spans="1:37" s="45" customFormat="1" ht="15" customHeight="1" x14ac:dyDescent="0.25">
      <c r="A14" s="30">
        <v>12</v>
      </c>
      <c r="B14" s="124" t="s">
        <v>173</v>
      </c>
      <c r="C14" s="150">
        <v>2261.2240000000002</v>
      </c>
      <c r="D14" s="150">
        <v>1394.1110000000001</v>
      </c>
      <c r="E14" s="127">
        <f t="shared" si="0"/>
        <v>62.198275460131946</v>
      </c>
      <c r="F14" s="171">
        <v>2310981029</v>
      </c>
      <c r="H14" s="3"/>
      <c r="I14" s="3"/>
      <c r="AC14" s="8"/>
    </row>
    <row r="15" spans="1:37" s="4" customFormat="1" ht="15" customHeight="1" x14ac:dyDescent="0.25">
      <c r="A15" s="30">
        <v>13</v>
      </c>
      <c r="B15" s="124" t="s">
        <v>10</v>
      </c>
      <c r="C15" s="150">
        <v>1811.117</v>
      </c>
      <c r="D15" s="150">
        <v>1209.232</v>
      </c>
      <c r="E15" s="127">
        <f t="shared" si="0"/>
        <v>49.774154173888888</v>
      </c>
      <c r="F15" s="171">
        <v>5260271530</v>
      </c>
      <c r="H15" s="3"/>
      <c r="I15" s="3"/>
      <c r="J15" s="45"/>
      <c r="K15" s="45"/>
      <c r="L15" s="45"/>
      <c r="AC15" s="119"/>
    </row>
    <row r="16" spans="1:37" ht="15" customHeight="1" x14ac:dyDescent="0.25">
      <c r="A16" s="30">
        <v>14</v>
      </c>
      <c r="B16" s="124" t="s">
        <v>243</v>
      </c>
      <c r="C16" s="150">
        <v>1727.873</v>
      </c>
      <c r="D16" s="150">
        <v>1229.671</v>
      </c>
      <c r="E16" s="127">
        <f t="shared" si="0"/>
        <v>40.515064598579606</v>
      </c>
      <c r="F16" s="171">
        <v>6671118019</v>
      </c>
      <c r="G16" s="45"/>
      <c r="H16" s="3"/>
      <c r="I16" s="3"/>
      <c r="AC16" s="8"/>
    </row>
    <row r="17" spans="1:38" s="45" customFormat="1" ht="15" customHeight="1" x14ac:dyDescent="0.25">
      <c r="A17" s="30">
        <v>15</v>
      </c>
      <c r="B17" s="124" t="s">
        <v>257</v>
      </c>
      <c r="C17" s="150">
        <v>1720.0321799999999</v>
      </c>
      <c r="D17" s="150" t="s">
        <v>5</v>
      </c>
      <c r="E17" s="127" t="s">
        <v>245</v>
      </c>
      <c r="F17" s="171">
        <v>5407973316</v>
      </c>
      <c r="H17" s="3"/>
      <c r="I17" s="3"/>
      <c r="AC17" s="8"/>
    </row>
    <row r="18" spans="1:38" s="45" customFormat="1" ht="15" customHeight="1" x14ac:dyDescent="0.25">
      <c r="A18" s="30">
        <v>16</v>
      </c>
      <c r="B18" s="124" t="s">
        <v>250</v>
      </c>
      <c r="C18" s="150">
        <v>1688.6046000000001</v>
      </c>
      <c r="D18" s="150">
        <v>818.72829999999999</v>
      </c>
      <c r="E18" s="127">
        <f t="shared" ref="E18:E50" si="1">(C18/D18-1)*100</f>
        <v>106.24724954542306</v>
      </c>
      <c r="F18" s="171">
        <v>9102023109</v>
      </c>
      <c r="H18" s="3"/>
      <c r="I18" s="3"/>
      <c r="AC18" s="8"/>
    </row>
    <row r="19" spans="1:38" ht="15" customHeight="1" x14ac:dyDescent="0.25">
      <c r="A19" s="30">
        <v>17</v>
      </c>
      <c r="B19" s="124" t="s">
        <v>172</v>
      </c>
      <c r="C19" s="150">
        <v>1667.3013255199999</v>
      </c>
      <c r="D19" s="150">
        <v>1355.27122605</v>
      </c>
      <c r="E19" s="127">
        <f t="shared" si="1"/>
        <v>23.023443091861839</v>
      </c>
      <c r="F19" s="171">
        <v>1831045838</v>
      </c>
      <c r="H19" s="3"/>
      <c r="I19" s="3"/>
      <c r="AC19" s="111" t="s">
        <v>80</v>
      </c>
      <c r="AG19" s="45"/>
      <c r="AH19" s="45"/>
      <c r="AK19" s="45"/>
      <c r="AL19" s="45"/>
    </row>
    <row r="20" spans="1:38" ht="15" customHeight="1" x14ac:dyDescent="0.25">
      <c r="A20" s="30">
        <v>18</v>
      </c>
      <c r="B20" s="124" t="s">
        <v>171</v>
      </c>
      <c r="C20" s="150">
        <v>1621.59</v>
      </c>
      <c r="D20" s="150">
        <v>1329.1079999999999</v>
      </c>
      <c r="E20" s="127">
        <f t="shared" si="1"/>
        <v>22.005886654809093</v>
      </c>
      <c r="F20" s="155">
        <v>6164072742</v>
      </c>
      <c r="H20" s="3"/>
      <c r="I20" s="3"/>
      <c r="AC20" s="111" t="s">
        <v>59</v>
      </c>
      <c r="AG20" s="45"/>
      <c r="AH20" s="45"/>
      <c r="AK20" s="45"/>
      <c r="AL20" s="45"/>
    </row>
    <row r="21" spans="1:38" ht="15" customHeight="1" x14ac:dyDescent="0.25">
      <c r="A21" s="30">
        <v>19</v>
      </c>
      <c r="B21" s="124" t="s">
        <v>235</v>
      </c>
      <c r="C21" s="150">
        <v>1547.327</v>
      </c>
      <c r="D21" s="150">
        <v>1738.569</v>
      </c>
      <c r="E21" s="127">
        <f t="shared" si="1"/>
        <v>-10.999966064044619</v>
      </c>
      <c r="F21" s="171" t="s">
        <v>111</v>
      </c>
      <c r="H21" s="3"/>
      <c r="I21" s="3"/>
      <c r="AC21" s="114"/>
      <c r="AG21" s="45"/>
      <c r="AH21" s="45"/>
      <c r="AK21" s="45"/>
      <c r="AL21" s="45"/>
    </row>
    <row r="22" spans="1:38" ht="15" customHeight="1" x14ac:dyDescent="0.25">
      <c r="A22" s="30">
        <v>20</v>
      </c>
      <c r="B22" s="124" t="s">
        <v>216</v>
      </c>
      <c r="C22" s="150">
        <v>1428</v>
      </c>
      <c r="D22" s="150">
        <v>1558.904</v>
      </c>
      <c r="E22" s="127">
        <f t="shared" si="1"/>
        <v>-8.3971816096437006</v>
      </c>
      <c r="F22" s="171">
        <v>7733812126</v>
      </c>
      <c r="H22" s="3"/>
      <c r="I22" s="3"/>
      <c r="M22" s="4"/>
      <c r="N22" s="4"/>
      <c r="AC22" s="8"/>
      <c r="AG22" s="45"/>
      <c r="AH22" s="45"/>
      <c r="AK22" s="45"/>
      <c r="AL22" s="45"/>
    </row>
    <row r="23" spans="1:38" s="45" customFormat="1" ht="15" customHeight="1" x14ac:dyDescent="0.25">
      <c r="A23" s="30">
        <v>21</v>
      </c>
      <c r="B23" s="124" t="s">
        <v>296</v>
      </c>
      <c r="C23" s="150">
        <v>1168.8999999999999</v>
      </c>
      <c r="D23" s="150">
        <v>1461.394</v>
      </c>
      <c r="E23" s="127">
        <f t="shared" si="1"/>
        <v>-20.014725666042153</v>
      </c>
      <c r="F23" s="20" t="s">
        <v>12</v>
      </c>
      <c r="H23" s="3"/>
      <c r="I23" s="3"/>
      <c r="AC23" s="8"/>
    </row>
    <row r="24" spans="1:38" ht="15" customHeight="1" x14ac:dyDescent="0.25">
      <c r="A24" s="30">
        <v>22</v>
      </c>
      <c r="B24" s="124" t="s">
        <v>238</v>
      </c>
      <c r="C24" s="150">
        <v>1165.537</v>
      </c>
      <c r="D24" s="150">
        <v>959.96799999999996</v>
      </c>
      <c r="E24" s="127">
        <f t="shared" si="1"/>
        <v>21.414151305043518</v>
      </c>
      <c r="F24" s="171">
        <v>8601042850</v>
      </c>
      <c r="H24" s="3"/>
      <c r="I24" s="3"/>
      <c r="AG24" s="45"/>
      <c r="AH24" s="45"/>
    </row>
    <row r="25" spans="1:38" ht="15" customHeight="1" x14ac:dyDescent="0.25">
      <c r="A25" s="30">
        <v>23</v>
      </c>
      <c r="B25" s="124" t="s">
        <v>177</v>
      </c>
      <c r="C25" s="150">
        <v>1088.829</v>
      </c>
      <c r="D25" s="150">
        <v>643.05700000000002</v>
      </c>
      <c r="E25" s="127">
        <f t="shared" si="1"/>
        <v>69.320760057040047</v>
      </c>
      <c r="F25" s="171">
        <v>2130058291</v>
      </c>
      <c r="H25" s="3"/>
      <c r="I25" s="3"/>
      <c r="AC25" s="111" t="s">
        <v>84</v>
      </c>
      <c r="AG25" s="45"/>
      <c r="AH25" s="45"/>
    </row>
    <row r="26" spans="1:38" ht="15" customHeight="1" x14ac:dyDescent="0.25">
      <c r="A26" s="30">
        <v>24</v>
      </c>
      <c r="B26" s="124" t="s">
        <v>175</v>
      </c>
      <c r="C26" s="150">
        <v>1022.997228</v>
      </c>
      <c r="D26" s="150">
        <v>726.264138</v>
      </c>
      <c r="E26" s="127">
        <f t="shared" si="1"/>
        <v>40.857461421288008</v>
      </c>
      <c r="F26" s="171">
        <v>2634091033</v>
      </c>
      <c r="H26" s="3"/>
      <c r="I26" s="3"/>
      <c r="AC26" s="10" t="s">
        <v>75</v>
      </c>
      <c r="AG26" s="45"/>
      <c r="AH26" s="45"/>
    </row>
    <row r="27" spans="1:38" s="45" customFormat="1" ht="15" customHeight="1" x14ac:dyDescent="0.25">
      <c r="A27" s="30">
        <v>25</v>
      </c>
      <c r="B27" s="142" t="s">
        <v>332</v>
      </c>
      <c r="C27" s="150">
        <v>982.98987999999997</v>
      </c>
      <c r="D27" s="150">
        <v>739.63400000000001</v>
      </c>
      <c r="E27" s="127">
        <f t="shared" si="1"/>
        <v>32.902202981474616</v>
      </c>
      <c r="F27" s="171">
        <v>4345045088</v>
      </c>
      <c r="H27" s="3"/>
      <c r="I27" s="3"/>
      <c r="AC27" s="10"/>
    </row>
    <row r="28" spans="1:38" ht="15" customHeight="1" x14ac:dyDescent="0.25">
      <c r="A28" s="30">
        <v>26</v>
      </c>
      <c r="B28" s="124" t="s">
        <v>262</v>
      </c>
      <c r="C28" s="150">
        <v>978.81399999999996</v>
      </c>
      <c r="D28" s="150">
        <v>875.3</v>
      </c>
      <c r="E28" s="127">
        <f t="shared" si="1"/>
        <v>11.826116759968009</v>
      </c>
      <c r="F28" s="171">
        <v>4205219217</v>
      </c>
      <c r="H28" s="3"/>
      <c r="I28" s="3"/>
      <c r="AC28" s="8"/>
      <c r="AG28" s="45"/>
      <c r="AH28" s="45"/>
    </row>
    <row r="29" spans="1:38" ht="15" customHeight="1" x14ac:dyDescent="0.25">
      <c r="A29" s="30">
        <v>27</v>
      </c>
      <c r="B29" s="124" t="s">
        <v>178</v>
      </c>
      <c r="C29" s="150">
        <v>978.35500000000002</v>
      </c>
      <c r="D29" s="150">
        <v>644.72400000000005</v>
      </c>
      <c r="E29" s="127">
        <f t="shared" si="1"/>
        <v>51.747879712869384</v>
      </c>
      <c r="F29" s="171">
        <v>5406570716</v>
      </c>
      <c r="H29" s="3"/>
      <c r="I29" s="3"/>
      <c r="AC29" s="8"/>
      <c r="AG29" s="45"/>
      <c r="AH29" s="45"/>
    </row>
    <row r="30" spans="1:38" ht="15" customHeight="1" x14ac:dyDescent="0.25">
      <c r="A30" s="30">
        <v>28</v>
      </c>
      <c r="B30" s="124" t="s">
        <v>188</v>
      </c>
      <c r="C30" s="150">
        <v>905.91499999999996</v>
      </c>
      <c r="D30" s="150">
        <v>503.88900000000001</v>
      </c>
      <c r="E30" s="127">
        <f t="shared" si="1"/>
        <v>79.784635108128967</v>
      </c>
      <c r="F30" s="171">
        <v>5321059541</v>
      </c>
      <c r="H30" s="3"/>
      <c r="I30" s="3"/>
      <c r="AC30" s="8"/>
      <c r="AG30" s="45"/>
      <c r="AH30" s="45"/>
    </row>
    <row r="31" spans="1:38" ht="15" customHeight="1" x14ac:dyDescent="0.25">
      <c r="A31" s="30">
        <v>29</v>
      </c>
      <c r="B31" s="124" t="s">
        <v>270</v>
      </c>
      <c r="C31" s="150">
        <v>837.02</v>
      </c>
      <c r="D31" s="150">
        <v>575.46100000000001</v>
      </c>
      <c r="E31" s="127">
        <f t="shared" si="1"/>
        <v>45.452081027211207</v>
      </c>
      <c r="F31" s="155" t="s">
        <v>269</v>
      </c>
      <c r="H31" s="3"/>
      <c r="I31" s="3"/>
      <c r="M31" s="4"/>
      <c r="N31" s="4"/>
      <c r="AG31" s="45"/>
      <c r="AH31" s="45"/>
    </row>
    <row r="32" spans="1:38" s="45" customFormat="1" ht="15" customHeight="1" x14ac:dyDescent="0.25">
      <c r="A32" s="30">
        <v>30</v>
      </c>
      <c r="B32" s="124" t="s">
        <v>224</v>
      </c>
      <c r="C32" s="150">
        <v>832.75600000000009</v>
      </c>
      <c r="D32" s="150">
        <v>822.375</v>
      </c>
      <c r="E32" s="127">
        <f t="shared" si="1"/>
        <v>1.2623195014439981</v>
      </c>
      <c r="F32" s="171">
        <v>7838492459</v>
      </c>
      <c r="H32" s="3"/>
      <c r="I32" s="3"/>
      <c r="AC32" s="10" t="s">
        <v>116</v>
      </c>
    </row>
    <row r="33" spans="1:34" ht="15" customHeight="1" x14ac:dyDescent="0.25">
      <c r="A33" s="30">
        <v>31</v>
      </c>
      <c r="B33" s="124" t="s">
        <v>24</v>
      </c>
      <c r="C33" s="150">
        <v>792.93700000000001</v>
      </c>
      <c r="D33" s="150">
        <v>691.18299999999999</v>
      </c>
      <c r="E33" s="127">
        <f t="shared" si="1"/>
        <v>14.721716245914607</v>
      </c>
      <c r="F33" s="171">
        <v>5407487242</v>
      </c>
      <c r="H33" s="3"/>
      <c r="I33" s="3"/>
      <c r="AG33" s="45"/>
      <c r="AH33" s="45"/>
    </row>
    <row r="34" spans="1:34" ht="15" customHeight="1" x14ac:dyDescent="0.25">
      <c r="A34" s="30">
        <v>32</v>
      </c>
      <c r="B34" s="124" t="s">
        <v>179</v>
      </c>
      <c r="C34" s="150">
        <v>763.779</v>
      </c>
      <c r="D34" s="150">
        <v>520.75099999999998</v>
      </c>
      <c r="E34" s="127">
        <f t="shared" si="1"/>
        <v>46.668753396536935</v>
      </c>
      <c r="F34" s="171">
        <v>3525251257</v>
      </c>
      <c r="H34" s="3"/>
      <c r="I34" s="3"/>
      <c r="M34" s="4"/>
      <c r="N34" s="4"/>
      <c r="AC34" s="10" t="s">
        <v>83</v>
      </c>
      <c r="AG34" s="45"/>
      <c r="AH34" s="45"/>
    </row>
    <row r="35" spans="1:34" ht="15" customHeight="1" x14ac:dyDescent="0.25">
      <c r="A35" s="30">
        <v>33</v>
      </c>
      <c r="B35" s="124" t="s">
        <v>221</v>
      </c>
      <c r="C35" s="150">
        <v>763.73500000000001</v>
      </c>
      <c r="D35" s="150">
        <v>447.43700000000001</v>
      </c>
      <c r="E35" s="127">
        <f t="shared" si="1"/>
        <v>70.691069357250285</v>
      </c>
      <c r="F35" s="171">
        <v>5260355389</v>
      </c>
      <c r="H35" s="3"/>
      <c r="I35" s="3"/>
      <c r="AC35" s="10" t="s">
        <v>67</v>
      </c>
      <c r="AG35" s="45"/>
      <c r="AH35" s="45"/>
    </row>
    <row r="36" spans="1:34" ht="15" customHeight="1" x14ac:dyDescent="0.25">
      <c r="A36" s="30">
        <v>34</v>
      </c>
      <c r="B36" s="124" t="s">
        <v>236</v>
      </c>
      <c r="C36" s="150">
        <v>748.41700000000003</v>
      </c>
      <c r="D36" s="150">
        <v>423.387</v>
      </c>
      <c r="E36" s="127">
        <f t="shared" si="1"/>
        <v>76.769008023392331</v>
      </c>
      <c r="F36" s="171">
        <v>5902198365</v>
      </c>
      <c r="H36" s="3"/>
      <c r="I36" s="3"/>
      <c r="AC36" s="10" t="s">
        <v>53</v>
      </c>
      <c r="AG36" s="45"/>
      <c r="AH36" s="45"/>
    </row>
    <row r="37" spans="1:34" ht="15" customHeight="1" x14ac:dyDescent="0.25">
      <c r="A37" s="30">
        <v>35</v>
      </c>
      <c r="B37" s="124" t="s">
        <v>193</v>
      </c>
      <c r="C37" s="150">
        <v>735.24300000000005</v>
      </c>
      <c r="D37" s="150">
        <v>440.27</v>
      </c>
      <c r="E37" s="127">
        <f t="shared" si="1"/>
        <v>66.998205646535098</v>
      </c>
      <c r="F37" s="171">
        <v>7106015641</v>
      </c>
      <c r="H37" s="3"/>
      <c r="I37" s="3"/>
      <c r="M37" s="4"/>
      <c r="N37" s="4"/>
      <c r="AC37" s="10" t="s">
        <v>51</v>
      </c>
      <c r="AG37" s="45"/>
      <c r="AH37" s="45"/>
    </row>
    <row r="38" spans="1:34" ht="15" customHeight="1" x14ac:dyDescent="0.25">
      <c r="A38" s="30">
        <v>36</v>
      </c>
      <c r="B38" s="124" t="s">
        <v>271</v>
      </c>
      <c r="C38" s="150">
        <v>700.01499999999999</v>
      </c>
      <c r="D38" s="150">
        <v>566.05799999999999</v>
      </c>
      <c r="E38" s="127">
        <f t="shared" si="1"/>
        <v>23.664889463623862</v>
      </c>
      <c r="F38" s="45">
        <v>275066729</v>
      </c>
      <c r="H38" s="3"/>
      <c r="I38" s="3"/>
      <c r="AC38" s="10" t="s">
        <v>69</v>
      </c>
      <c r="AG38" s="45"/>
      <c r="AH38" s="45"/>
    </row>
    <row r="39" spans="1:34" ht="15" customHeight="1" x14ac:dyDescent="0.25">
      <c r="A39" s="30">
        <v>37</v>
      </c>
      <c r="B39" s="124" t="s">
        <v>242</v>
      </c>
      <c r="C39" s="150">
        <v>692.00991099999999</v>
      </c>
      <c r="D39" s="150">
        <v>509.60893699999997</v>
      </c>
      <c r="E39" s="127">
        <f t="shared" si="1"/>
        <v>35.792342079746533</v>
      </c>
      <c r="F39" s="171">
        <v>2901204067</v>
      </c>
      <c r="H39" s="3"/>
      <c r="I39" s="3"/>
      <c r="AC39" s="10" t="s">
        <v>82</v>
      </c>
      <c r="AG39" s="45"/>
      <c r="AH39" s="45"/>
    </row>
    <row r="40" spans="1:34" ht="15" customHeight="1" x14ac:dyDescent="0.25">
      <c r="A40" s="30">
        <v>38</v>
      </c>
      <c r="B40" s="124" t="s">
        <v>239</v>
      </c>
      <c r="C40" s="150">
        <v>687.95869999999991</v>
      </c>
      <c r="D40" s="150">
        <v>413.238</v>
      </c>
      <c r="E40" s="127">
        <f t="shared" si="1"/>
        <v>66.480018778524695</v>
      </c>
      <c r="F40" s="171">
        <v>4824047100</v>
      </c>
      <c r="H40" s="3"/>
      <c r="I40" s="3"/>
      <c r="AC40" s="10" t="s">
        <v>48</v>
      </c>
      <c r="AG40" s="45"/>
      <c r="AH40" s="45"/>
    </row>
    <row r="41" spans="1:34" ht="15" customHeight="1" x14ac:dyDescent="0.25">
      <c r="A41" s="30">
        <v>39</v>
      </c>
      <c r="B41" s="124" t="s">
        <v>182</v>
      </c>
      <c r="C41" s="150">
        <v>684.84900000000005</v>
      </c>
      <c r="D41" s="150">
        <v>476.13900000000001</v>
      </c>
      <c r="E41" s="127">
        <f t="shared" si="1"/>
        <v>43.833838437935157</v>
      </c>
      <c r="F41" s="45">
        <v>2721052016</v>
      </c>
      <c r="H41" s="3"/>
      <c r="I41" s="3"/>
      <c r="AG41" s="45"/>
      <c r="AH41" s="45"/>
    </row>
    <row r="42" spans="1:34" ht="15" customHeight="1" x14ac:dyDescent="0.25">
      <c r="A42" s="30">
        <v>40</v>
      </c>
      <c r="B42" s="124" t="s">
        <v>227</v>
      </c>
      <c r="C42" s="150">
        <v>658.00699999999995</v>
      </c>
      <c r="D42" s="150">
        <v>455.52199999999999</v>
      </c>
      <c r="E42" s="127">
        <f t="shared" si="1"/>
        <v>44.451201039686339</v>
      </c>
      <c r="F42" s="171">
        <v>4101091354</v>
      </c>
      <c r="H42" s="3"/>
      <c r="I42" s="3"/>
      <c r="M42" s="4"/>
      <c r="N42" s="4"/>
      <c r="AG42" s="45"/>
      <c r="AH42" s="45"/>
    </row>
    <row r="43" spans="1:34" ht="15" customHeight="1" x14ac:dyDescent="0.25">
      <c r="A43" s="30">
        <v>41</v>
      </c>
      <c r="B43" s="124" t="s">
        <v>268</v>
      </c>
      <c r="C43" s="150">
        <v>651.60699999999997</v>
      </c>
      <c r="D43" s="150">
        <v>485.29764</v>
      </c>
      <c r="E43" s="127">
        <f t="shared" si="1"/>
        <v>34.269558780463051</v>
      </c>
      <c r="F43" s="45">
        <v>2221171632</v>
      </c>
      <c r="H43" s="3"/>
      <c r="I43" s="3"/>
      <c r="AC43" s="8"/>
      <c r="AG43" s="45"/>
      <c r="AH43" s="45"/>
    </row>
    <row r="44" spans="1:34" s="45" customFormat="1" ht="15" customHeight="1" x14ac:dyDescent="0.25">
      <c r="A44" s="30">
        <v>42</v>
      </c>
      <c r="B44" s="124" t="s">
        <v>192</v>
      </c>
      <c r="C44" s="150">
        <v>640.95100000000002</v>
      </c>
      <c r="D44" s="150">
        <v>465.96499999999997</v>
      </c>
      <c r="E44" s="127">
        <f t="shared" si="1"/>
        <v>37.553464315989402</v>
      </c>
      <c r="F44" s="171">
        <v>3328999318</v>
      </c>
      <c r="H44" s="3"/>
      <c r="I44" s="3"/>
      <c r="AC44" s="10" t="s">
        <v>63</v>
      </c>
    </row>
    <row r="45" spans="1:34" ht="15" customHeight="1" x14ac:dyDescent="0.25">
      <c r="A45" s="30">
        <v>43</v>
      </c>
      <c r="B45" s="124" t="s">
        <v>255</v>
      </c>
      <c r="C45" s="150">
        <v>613.447</v>
      </c>
      <c r="D45" s="150">
        <v>276.26900000000001</v>
      </c>
      <c r="E45" s="127">
        <f t="shared" si="1"/>
        <v>122.04699043323717</v>
      </c>
      <c r="F45" s="171">
        <v>5835073174</v>
      </c>
      <c r="H45" s="3"/>
      <c r="I45" s="3"/>
      <c r="M45" s="4"/>
      <c r="N45" s="4"/>
      <c r="AC45" s="10" t="s">
        <v>54</v>
      </c>
      <c r="AG45" s="45"/>
      <c r="AH45" s="45"/>
    </row>
    <row r="46" spans="1:34" ht="15" customHeight="1" x14ac:dyDescent="0.25">
      <c r="A46" s="30">
        <v>44</v>
      </c>
      <c r="B46" s="124" t="s">
        <v>272</v>
      </c>
      <c r="C46" s="150">
        <v>590.35</v>
      </c>
      <c r="D46" s="150">
        <v>403.517</v>
      </c>
      <c r="E46" s="127">
        <f t="shared" si="1"/>
        <v>46.301147163564373</v>
      </c>
      <c r="F46" s="154">
        <v>7204137581</v>
      </c>
      <c r="H46" s="3"/>
      <c r="I46" s="3"/>
      <c r="AC46" s="10" t="s">
        <v>66</v>
      </c>
      <c r="AG46" s="45"/>
      <c r="AH46" s="45"/>
    </row>
    <row r="47" spans="1:34" s="45" customFormat="1" ht="15" customHeight="1" x14ac:dyDescent="0.25">
      <c r="A47" s="30">
        <v>45</v>
      </c>
      <c r="B47" s="124" t="s">
        <v>181</v>
      </c>
      <c r="C47" s="150">
        <v>578.52499999999998</v>
      </c>
      <c r="D47" s="150">
        <v>487.51499999999999</v>
      </c>
      <c r="E47" s="127">
        <f t="shared" si="1"/>
        <v>18.668143544301195</v>
      </c>
      <c r="F47" s="171">
        <v>5753990187</v>
      </c>
      <c r="H47" s="3"/>
      <c r="I47" s="3"/>
      <c r="AC47" s="111" t="s">
        <v>226</v>
      </c>
    </row>
    <row r="48" spans="1:34" s="4" customFormat="1" ht="15" customHeight="1" x14ac:dyDescent="0.25">
      <c r="A48" s="30">
        <v>46</v>
      </c>
      <c r="B48" s="124" t="s">
        <v>249</v>
      </c>
      <c r="C48" s="150">
        <v>575.57399999999996</v>
      </c>
      <c r="D48" s="150">
        <v>226.91399999999999</v>
      </c>
      <c r="E48" s="127">
        <f t="shared" si="1"/>
        <v>153.65292577804809</v>
      </c>
      <c r="F48" s="171">
        <v>5260248556</v>
      </c>
      <c r="H48" s="3"/>
      <c r="I48" s="3"/>
      <c r="J48" s="45"/>
      <c r="K48" s="45"/>
      <c r="L48" s="45"/>
      <c r="AC48" s="119"/>
    </row>
    <row r="49" spans="1:34" ht="15" customHeight="1" x14ac:dyDescent="0.25">
      <c r="A49" s="30">
        <v>47</v>
      </c>
      <c r="B49" s="124" t="s">
        <v>247</v>
      </c>
      <c r="C49" s="150">
        <v>503.76</v>
      </c>
      <c r="D49" s="150">
        <v>261.10899999999998</v>
      </c>
      <c r="E49" s="127">
        <f t="shared" si="1"/>
        <v>92.930921569153128</v>
      </c>
      <c r="F49" s="171">
        <v>6952000911</v>
      </c>
      <c r="H49" s="3"/>
      <c r="I49" s="3"/>
      <c r="J49" s="4"/>
      <c r="K49" s="4"/>
      <c r="L49" s="4"/>
      <c r="AG49" s="45"/>
      <c r="AH49" s="45"/>
    </row>
    <row r="50" spans="1:34" ht="15" customHeight="1" x14ac:dyDescent="0.25">
      <c r="A50" s="30">
        <v>48</v>
      </c>
      <c r="B50" s="124" t="s">
        <v>187</v>
      </c>
      <c r="C50" s="150">
        <v>503.45600000000002</v>
      </c>
      <c r="D50" s="150">
        <v>361.61900000000003</v>
      </c>
      <c r="E50" s="127">
        <f t="shared" si="1"/>
        <v>39.2227731396857</v>
      </c>
      <c r="F50" s="171">
        <v>3666144160</v>
      </c>
      <c r="H50" s="3"/>
      <c r="I50" s="3"/>
      <c r="AC50" s="10" t="s">
        <v>60</v>
      </c>
      <c r="AG50" s="45"/>
      <c r="AH50" s="45"/>
    </row>
    <row r="51" spans="1:34" ht="15" customHeight="1" x14ac:dyDescent="0.25">
      <c r="A51" s="30">
        <v>49</v>
      </c>
      <c r="B51" s="124" t="s">
        <v>244</v>
      </c>
      <c r="C51" s="150">
        <v>500.01499999999999</v>
      </c>
      <c r="D51" s="150">
        <v>330.03800000000001</v>
      </c>
      <c r="E51" s="127">
        <f t="shared" ref="E51:E68" si="2">(C51/D51-1)*100</f>
        <v>51.502251255915986</v>
      </c>
      <c r="F51" s="171">
        <v>5038072003</v>
      </c>
      <c r="H51" s="3"/>
      <c r="I51" s="3"/>
      <c r="AG51" s="45"/>
      <c r="AH51" s="45"/>
    </row>
    <row r="52" spans="1:34" ht="15" customHeight="1" x14ac:dyDescent="0.25">
      <c r="A52" s="30">
        <v>50</v>
      </c>
      <c r="B52" s="124" t="s">
        <v>198</v>
      </c>
      <c r="C52" s="150">
        <v>493.64828</v>
      </c>
      <c r="D52" s="150">
        <v>362.76715999999999</v>
      </c>
      <c r="E52" s="127">
        <f t="shared" si="2"/>
        <v>36.078546911467946</v>
      </c>
      <c r="F52" s="171">
        <v>3015028318</v>
      </c>
      <c r="H52" s="3"/>
      <c r="I52" s="3"/>
      <c r="AC52" s="10" t="s">
        <v>49</v>
      </c>
      <c r="AG52" s="45"/>
      <c r="AH52" s="45"/>
    </row>
    <row r="53" spans="1:34" ht="15" customHeight="1" x14ac:dyDescent="0.25">
      <c r="A53" s="30">
        <v>51</v>
      </c>
      <c r="B53" s="124" t="s">
        <v>22</v>
      </c>
      <c r="C53" s="150">
        <v>433.54399999999998</v>
      </c>
      <c r="D53" s="150">
        <v>658</v>
      </c>
      <c r="E53" s="127">
        <f t="shared" si="2"/>
        <v>-34.111854103343461</v>
      </c>
      <c r="F53" s="171">
        <v>1831178411</v>
      </c>
      <c r="H53" s="3"/>
      <c r="I53" s="3"/>
      <c r="AG53" s="45"/>
      <c r="AH53" s="45"/>
    </row>
    <row r="54" spans="1:34" ht="15" customHeight="1" x14ac:dyDescent="0.25">
      <c r="A54" s="30">
        <v>52</v>
      </c>
      <c r="B54" s="124" t="s">
        <v>11</v>
      </c>
      <c r="C54" s="150">
        <v>386.56700000000001</v>
      </c>
      <c r="D54" s="150">
        <v>734.202</v>
      </c>
      <c r="E54" s="127">
        <f t="shared" si="2"/>
        <v>-47.348686056425883</v>
      </c>
      <c r="F54" s="20">
        <v>5407264020</v>
      </c>
      <c r="H54" s="3"/>
      <c r="I54" s="3"/>
      <c r="M54" s="4"/>
      <c r="N54" s="4"/>
      <c r="AC54" s="10" t="s">
        <v>52</v>
      </c>
      <c r="AG54" s="45"/>
      <c r="AH54" s="45"/>
    </row>
    <row r="55" spans="1:34" ht="15" customHeight="1" x14ac:dyDescent="0.25">
      <c r="A55" s="30">
        <v>53</v>
      </c>
      <c r="B55" s="124" t="s">
        <v>240</v>
      </c>
      <c r="C55" s="150">
        <v>386.11900000000003</v>
      </c>
      <c r="D55" s="150">
        <v>187.85499999999999</v>
      </c>
      <c r="E55" s="127">
        <f t="shared" si="2"/>
        <v>105.54097575257515</v>
      </c>
      <c r="F55" s="171">
        <v>4632066518</v>
      </c>
      <c r="H55" s="3"/>
      <c r="I55" s="3"/>
      <c r="AC55" s="10" t="s">
        <v>79</v>
      </c>
      <c r="AG55" s="45"/>
      <c r="AH55" s="45"/>
    </row>
    <row r="56" spans="1:34" ht="15" customHeight="1" x14ac:dyDescent="0.25">
      <c r="A56" s="30">
        <v>54</v>
      </c>
      <c r="B56" s="124" t="s">
        <v>286</v>
      </c>
      <c r="C56" s="150">
        <v>372.08099999999996</v>
      </c>
      <c r="D56" s="150">
        <v>57.087000000000003</v>
      </c>
      <c r="E56" s="127">
        <f t="shared" si="2"/>
        <v>551.7788638394029</v>
      </c>
      <c r="F56" s="20">
        <v>7704493556</v>
      </c>
      <c r="H56" s="3"/>
      <c r="I56" s="3"/>
      <c r="AC56" s="10" t="s">
        <v>56</v>
      </c>
      <c r="AG56" s="45"/>
      <c r="AH56" s="45"/>
    </row>
    <row r="57" spans="1:34" ht="15" customHeight="1" x14ac:dyDescent="0.25">
      <c r="A57" s="30">
        <v>55</v>
      </c>
      <c r="B57" s="124" t="s">
        <v>194</v>
      </c>
      <c r="C57" s="150">
        <v>346.13200000000001</v>
      </c>
      <c r="D57" s="150">
        <v>240.54499999999999</v>
      </c>
      <c r="E57" s="127">
        <f t="shared" si="2"/>
        <v>43.894905319171059</v>
      </c>
      <c r="F57" s="171">
        <v>6450939546</v>
      </c>
      <c r="H57" s="3"/>
      <c r="I57" s="3"/>
      <c r="AC57" s="10" t="s">
        <v>74</v>
      </c>
      <c r="AG57" s="45"/>
      <c r="AH57" s="45"/>
    </row>
    <row r="58" spans="1:34" s="45" customFormat="1" ht="15" customHeight="1" x14ac:dyDescent="0.25">
      <c r="A58" s="30">
        <v>56</v>
      </c>
      <c r="B58" s="124" t="s">
        <v>282</v>
      </c>
      <c r="C58" s="150">
        <v>323.17700000000002</v>
      </c>
      <c r="D58" s="150">
        <v>104.61</v>
      </c>
      <c r="E58" s="127">
        <f t="shared" si="2"/>
        <v>208.93509224739512</v>
      </c>
      <c r="F58" s="20">
        <v>1659182700</v>
      </c>
      <c r="H58" s="3"/>
      <c r="I58" s="3"/>
      <c r="M58" s="4"/>
      <c r="N58" s="4"/>
      <c r="AC58" s="10" t="s">
        <v>72</v>
      </c>
    </row>
    <row r="59" spans="1:34" s="45" customFormat="1" ht="15" customHeight="1" x14ac:dyDescent="0.25">
      <c r="A59" s="30">
        <v>57</v>
      </c>
      <c r="B59" s="124" t="s">
        <v>285</v>
      </c>
      <c r="C59" s="150">
        <v>217.10599999999999</v>
      </c>
      <c r="D59" s="150">
        <v>304.702</v>
      </c>
      <c r="E59" s="127">
        <f t="shared" si="2"/>
        <v>-28.748088296105699</v>
      </c>
      <c r="F59" s="163">
        <v>5501246928</v>
      </c>
      <c r="H59" s="3"/>
      <c r="I59" s="3"/>
      <c r="AC59" s="10"/>
    </row>
    <row r="60" spans="1:34" ht="15" customHeight="1" x14ac:dyDescent="0.25">
      <c r="A60" s="30">
        <v>58</v>
      </c>
      <c r="B60" s="124" t="s">
        <v>207</v>
      </c>
      <c r="C60" s="150">
        <v>211.59793999999999</v>
      </c>
      <c r="D60" s="150">
        <v>91.13664</v>
      </c>
      <c r="E60" s="127">
        <f t="shared" si="2"/>
        <v>132.1765867163854</v>
      </c>
      <c r="F60" s="171">
        <v>7536165141</v>
      </c>
      <c r="H60" s="3"/>
      <c r="I60" s="3"/>
      <c r="M60" s="4"/>
      <c r="N60" s="4"/>
      <c r="AC60" s="10" t="s">
        <v>78</v>
      </c>
      <c r="AG60" s="45"/>
      <c r="AH60" s="45"/>
    </row>
    <row r="61" spans="1:34" ht="15" customHeight="1" x14ac:dyDescent="0.25">
      <c r="A61" s="30">
        <v>59</v>
      </c>
      <c r="B61" s="124" t="s">
        <v>248</v>
      </c>
      <c r="C61" s="150">
        <v>180.828</v>
      </c>
      <c r="D61" s="150">
        <v>69.257999999999996</v>
      </c>
      <c r="E61" s="127">
        <f t="shared" si="2"/>
        <v>161.09330330070173</v>
      </c>
      <c r="F61" s="171">
        <v>2801249882</v>
      </c>
      <c r="H61" s="3"/>
      <c r="I61" s="3"/>
      <c r="AC61" s="10" t="s">
        <v>50</v>
      </c>
      <c r="AG61" s="45"/>
      <c r="AH61" s="45"/>
    </row>
    <row r="62" spans="1:34" ht="15" customHeight="1" x14ac:dyDescent="0.25">
      <c r="A62" s="30">
        <v>60</v>
      </c>
      <c r="B62" s="124" t="s">
        <v>246</v>
      </c>
      <c r="C62" s="150">
        <v>163.07503</v>
      </c>
      <c r="D62" s="150">
        <v>174.90303</v>
      </c>
      <c r="E62" s="127">
        <f t="shared" si="2"/>
        <v>-6.7626043985630213</v>
      </c>
      <c r="F62" s="171">
        <v>1435296482</v>
      </c>
      <c r="H62" s="3"/>
      <c r="I62" s="3"/>
      <c r="AC62" s="10" t="s">
        <v>58</v>
      </c>
      <c r="AG62" s="45"/>
      <c r="AH62" s="45"/>
    </row>
    <row r="63" spans="1:34" ht="15" customHeight="1" x14ac:dyDescent="0.25">
      <c r="A63" s="30">
        <v>61</v>
      </c>
      <c r="B63" s="124" t="s">
        <v>220</v>
      </c>
      <c r="C63" s="150">
        <v>157.41900000000001</v>
      </c>
      <c r="D63" s="150">
        <v>232.166</v>
      </c>
      <c r="E63" s="127">
        <f t="shared" si="2"/>
        <v>-32.195498048809903</v>
      </c>
      <c r="F63" s="171">
        <v>7705974076</v>
      </c>
      <c r="H63" s="3"/>
      <c r="I63" s="3"/>
      <c r="M63" s="4"/>
      <c r="N63" s="4"/>
      <c r="AC63" s="10" t="s">
        <v>70</v>
      </c>
      <c r="AG63" s="45"/>
      <c r="AH63" s="45"/>
    </row>
    <row r="64" spans="1:34" ht="15" customHeight="1" x14ac:dyDescent="0.25">
      <c r="A64" s="30">
        <v>62</v>
      </c>
      <c r="B64" s="124" t="s">
        <v>283</v>
      </c>
      <c r="C64" s="150">
        <v>69.998000000000005</v>
      </c>
      <c r="D64" s="150">
        <v>65.646000000000001</v>
      </c>
      <c r="E64" s="127">
        <f t="shared" si="2"/>
        <v>6.6294976083843604</v>
      </c>
      <c r="F64" s="20">
        <v>2465260220</v>
      </c>
      <c r="H64" s="3"/>
      <c r="I64" s="3"/>
      <c r="AC64" s="10" t="s">
        <v>57</v>
      </c>
      <c r="AG64" s="45"/>
      <c r="AH64" s="45"/>
    </row>
    <row r="65" spans="1:34" s="45" customFormat="1" ht="15" customHeight="1" x14ac:dyDescent="0.25">
      <c r="A65" s="30">
        <v>63</v>
      </c>
      <c r="B65" s="124" t="s">
        <v>274</v>
      </c>
      <c r="C65" s="150">
        <v>67.461610000000007</v>
      </c>
      <c r="D65" s="150">
        <v>9</v>
      </c>
      <c r="E65" s="127">
        <f t="shared" si="2"/>
        <v>649.57344444444459</v>
      </c>
      <c r="F65" s="155">
        <v>7901550330</v>
      </c>
      <c r="H65" s="3"/>
      <c r="I65" s="3"/>
      <c r="AC65" s="10"/>
    </row>
    <row r="66" spans="1:34" ht="15" customHeight="1" x14ac:dyDescent="0.25">
      <c r="A66" s="30">
        <v>64</v>
      </c>
      <c r="B66" s="124" t="s">
        <v>16</v>
      </c>
      <c r="C66" s="150">
        <v>47.577999999999996</v>
      </c>
      <c r="D66" s="150">
        <v>38.170999999999999</v>
      </c>
      <c r="E66" s="127">
        <f t="shared" si="2"/>
        <v>24.644363522045531</v>
      </c>
      <c r="F66" s="171">
        <v>4205312696</v>
      </c>
      <c r="H66" s="3"/>
      <c r="I66" s="3"/>
      <c r="AC66" s="10" t="s">
        <v>65</v>
      </c>
      <c r="AG66" s="45"/>
      <c r="AH66" s="45"/>
    </row>
    <row r="67" spans="1:34" ht="15" customHeight="1" x14ac:dyDescent="0.25">
      <c r="A67" s="30">
        <v>65</v>
      </c>
      <c r="B67" s="124" t="s">
        <v>241</v>
      </c>
      <c r="C67" s="150">
        <v>36.707999999999998</v>
      </c>
      <c r="D67" s="150">
        <v>31.748000000000001</v>
      </c>
      <c r="E67" s="127">
        <f t="shared" si="2"/>
        <v>15.623031372054918</v>
      </c>
      <c r="F67" s="171">
        <v>3818029140</v>
      </c>
      <c r="H67" s="3"/>
      <c r="I67" s="3"/>
      <c r="AC67" s="10" t="s">
        <v>61</v>
      </c>
      <c r="AG67" s="45"/>
      <c r="AH67" s="45"/>
    </row>
    <row r="68" spans="1:34" ht="15" customHeight="1" x14ac:dyDescent="0.25">
      <c r="A68" s="30">
        <v>66</v>
      </c>
      <c r="B68" s="124" t="s">
        <v>273</v>
      </c>
      <c r="C68" s="150">
        <v>30.204000000000001</v>
      </c>
      <c r="D68" s="150">
        <v>25.725000000000001</v>
      </c>
      <c r="E68" s="127">
        <f t="shared" si="2"/>
        <v>17.411078717201157</v>
      </c>
      <c r="F68" s="155">
        <v>1824002590</v>
      </c>
      <c r="H68" s="3"/>
      <c r="I68" s="3"/>
      <c r="AC68" s="10" t="s">
        <v>85</v>
      </c>
      <c r="AG68" s="45"/>
      <c r="AH68" s="45"/>
    </row>
    <row r="69" spans="1:34" x14ac:dyDescent="0.25">
      <c r="J69" s="4"/>
      <c r="K69" s="4"/>
      <c r="L69" s="4"/>
    </row>
    <row r="70" spans="1:34" x14ac:dyDescent="0.25">
      <c r="B70" s="19"/>
      <c r="C70" s="19"/>
      <c r="D70" s="19"/>
      <c r="E70" s="141"/>
      <c r="F70" s="141"/>
      <c r="AB70" s="45"/>
      <c r="AC70" s="45"/>
      <c r="AD70" s="45"/>
      <c r="AE70" s="45"/>
      <c r="AF70" s="45"/>
    </row>
    <row r="71" spans="1:34" x14ac:dyDescent="0.25">
      <c r="AB71" s="45"/>
      <c r="AC71" s="45"/>
      <c r="AD71" s="45"/>
      <c r="AE71" s="45"/>
      <c r="AF71" s="45"/>
    </row>
    <row r="72" spans="1:34" x14ac:dyDescent="0.25">
      <c r="K72" s="4"/>
      <c r="L72" s="4"/>
    </row>
    <row r="79" spans="1:34" x14ac:dyDescent="0.25">
      <c r="M79" s="4"/>
      <c r="N79" s="4"/>
    </row>
    <row r="81" spans="13:14" x14ac:dyDescent="0.25">
      <c r="M81" s="4"/>
      <c r="N81" s="4"/>
    </row>
    <row r="84" spans="13:14" x14ac:dyDescent="0.25">
      <c r="M84" s="4"/>
      <c r="N84" s="4"/>
    </row>
  </sheetData>
  <autoFilter ref="A2:AN2" xr:uid="{2211BD02-9F19-428F-9C8A-AC63EEDDA0BC}">
    <sortState xmlns:xlrd2="http://schemas.microsoft.com/office/spreadsheetml/2017/richdata2" ref="A3:AN67">
      <sortCondition descending="1" ref="C2"/>
    </sortState>
  </autoFilter>
  <sortState xmlns:xlrd2="http://schemas.microsoft.com/office/spreadsheetml/2017/richdata2" ref="A4:F68">
    <sortCondition descending="1" ref="C4:C68"/>
  </sortState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4E13A-17F1-4966-A443-068EBF444F1F}">
  <sheetPr codeName="Лист14"/>
  <dimension ref="B2:R81"/>
  <sheetViews>
    <sheetView workbookViewId="0">
      <selection activeCell="I74" activeCellId="1" sqref="B74:C74 I74"/>
    </sheetView>
  </sheetViews>
  <sheetFormatPr defaultRowHeight="15" x14ac:dyDescent="0.25"/>
  <cols>
    <col min="2" max="2" width="24.5703125" customWidth="1"/>
    <col min="3" max="4" width="10.140625" bestFit="1" customWidth="1"/>
    <col min="9" max="9" width="10.7109375" customWidth="1"/>
    <col min="16" max="16" width="10.140625" bestFit="1" customWidth="1"/>
    <col min="18" max="18" width="10.140625" style="45" bestFit="1" customWidth="1"/>
  </cols>
  <sheetData>
    <row r="2" spans="2:16" x14ac:dyDescent="0.25">
      <c r="C2" s="17" t="s">
        <v>134</v>
      </c>
      <c r="F2" s="17" t="s">
        <v>133</v>
      </c>
      <c r="I2" s="17" t="s">
        <v>135</v>
      </c>
      <c r="P2" s="3">
        <v>2018</v>
      </c>
    </row>
    <row r="3" spans="2:16" x14ac:dyDescent="0.25">
      <c r="B3" s="1" t="s">
        <v>32</v>
      </c>
      <c r="C3" s="1" t="e">
        <f>HLOOKUP(B3,#REF!,27,FALSE)/1000+HLOOKUP(B3,#REF!,38,FALSE)/1000+HLOOKUP(B3,#REF!,49,FALSE)/1000+HLOOKUP(B3,#REF!,60,FALSE)/1000</f>
        <v>#REF!</v>
      </c>
      <c r="F3" s="1" t="e">
        <f t="shared" ref="F3:F34" si="0">P3-C3</f>
        <v>#REF!</v>
      </c>
      <c r="I3" s="1" t="e">
        <f>HLOOKUP(B3,#REF!,29,FALSE)/1000+HLOOKUP(B3,#REF!,40,FALSE)/1000+HLOOKUP(B3,#REF!,51,FALSE)/1000+HLOOKUP(B3,#REF!,62,FALSE)/1000</f>
        <v>#REF!</v>
      </c>
      <c r="P3" s="1" t="e">
        <f>HLOOKUP(B3,#REF!,28,FALSE)/1000+HLOOKUP(B3,#REF!,39,FALSE)/1000+HLOOKUP(B3,#REF!,50,FALSE)/1000+HLOOKUP(B3,#REF!,61,FALSE)/1000</f>
        <v>#REF!</v>
      </c>
    </row>
    <row r="4" spans="2:16" x14ac:dyDescent="0.25">
      <c r="B4" s="1" t="s">
        <v>8</v>
      </c>
      <c r="C4" s="1" t="e">
        <f>HLOOKUP(B4,#REF!,27,FALSE)/1000+HLOOKUP(B4,#REF!,38,FALSE)/1000+HLOOKUP(B4,#REF!,49,FALSE)/1000+HLOOKUP(B4,#REF!,60,FALSE)/1000</f>
        <v>#REF!</v>
      </c>
      <c r="F4" s="1" t="e">
        <f t="shared" si="0"/>
        <v>#REF!</v>
      </c>
      <c r="I4" s="1" t="e">
        <f>HLOOKUP(B4,#REF!,29,FALSE)/1000+HLOOKUP(B4,#REF!,40,FALSE)/1000+HLOOKUP(B4,#REF!,51,FALSE)/1000+HLOOKUP(B4,#REF!,62,FALSE)/1000</f>
        <v>#REF!</v>
      </c>
      <c r="P4" s="1" t="e">
        <f>HLOOKUP(B4,#REF!,28,FALSE)/1000+HLOOKUP(B4,#REF!,39,FALSE)/1000+HLOOKUP(B4,#REF!,50,FALSE)/1000+HLOOKUP(B4,#REF!,61,FALSE)/1000</f>
        <v>#REF!</v>
      </c>
    </row>
    <row r="5" spans="2:16" x14ac:dyDescent="0.25">
      <c r="B5" s="1" t="s">
        <v>41</v>
      </c>
      <c r="C5" s="1" t="e">
        <f>HLOOKUP(B5,#REF!,27,FALSE)/1000+HLOOKUP(B5,#REF!,38,FALSE)/1000+HLOOKUP(B5,#REF!,49,FALSE)/1000+HLOOKUP(B5,#REF!,60,FALSE)/1000</f>
        <v>#REF!</v>
      </c>
      <c r="F5" s="1" t="e">
        <f t="shared" si="0"/>
        <v>#REF!</v>
      </c>
      <c r="I5" s="1" t="e">
        <f>HLOOKUP(B5,#REF!,29,FALSE)/1000+HLOOKUP(B5,#REF!,40,FALSE)/1000+HLOOKUP(B5,#REF!,51,FALSE)/1000+HLOOKUP(B5,#REF!,62,FALSE)/1000</f>
        <v>#REF!</v>
      </c>
      <c r="P5" s="1" t="e">
        <f>HLOOKUP(B5,#REF!,28,FALSE)/1000+HLOOKUP(B5,#REF!,39,FALSE)/1000+HLOOKUP(B5,#REF!,50,FALSE)/1000+HLOOKUP(B5,#REF!,61,FALSE)/1000</f>
        <v>#REF!</v>
      </c>
    </row>
    <row r="6" spans="2:16" x14ac:dyDescent="0.25">
      <c r="B6" s="1" t="s">
        <v>36</v>
      </c>
      <c r="C6" s="1" t="e">
        <f>HLOOKUP(B6,#REF!,27,FALSE)/1000+HLOOKUP(B6,#REF!,38,FALSE)/1000+HLOOKUP(B6,#REF!,49,FALSE)/1000+HLOOKUP(B6,#REF!,60,FALSE)/1000</f>
        <v>#REF!</v>
      </c>
      <c r="F6" s="1" t="e">
        <f t="shared" si="0"/>
        <v>#REF!</v>
      </c>
      <c r="I6" s="1" t="e">
        <f>HLOOKUP(B6,#REF!,29,FALSE)/1000+HLOOKUP(B6,#REF!,40,FALSE)/1000+HLOOKUP(B6,#REF!,51,FALSE)/1000+HLOOKUP(B6,#REF!,62,FALSE)/1000</f>
        <v>#REF!</v>
      </c>
      <c r="P6" s="1" t="e">
        <f>HLOOKUP(B6,#REF!,28,FALSE)/1000+HLOOKUP(B6,#REF!,39,FALSE)/1000+HLOOKUP(B6,#REF!,50,FALSE)/1000+HLOOKUP(B6,#REF!,61,FALSE)/1000</f>
        <v>#REF!</v>
      </c>
    </row>
    <row r="7" spans="2:16" x14ac:dyDescent="0.25">
      <c r="B7" s="1" t="s">
        <v>15</v>
      </c>
      <c r="C7" s="1" t="e">
        <f>HLOOKUP(B7,#REF!,27,FALSE)/1000+HLOOKUP(B7,#REF!,38,FALSE)/1000+HLOOKUP(B7,#REF!,49,FALSE)/1000+HLOOKUP(B7,#REF!,60,FALSE)/1000</f>
        <v>#REF!</v>
      </c>
      <c r="F7" s="1" t="e">
        <f t="shared" si="0"/>
        <v>#REF!</v>
      </c>
      <c r="I7" s="1" t="e">
        <f>HLOOKUP(B7,#REF!,29,FALSE)/1000+HLOOKUP(B7,#REF!,40,FALSE)/1000+HLOOKUP(B7,#REF!,51,FALSE)/1000+HLOOKUP(B7,#REF!,62,FALSE)/1000</f>
        <v>#REF!</v>
      </c>
      <c r="P7" s="1" t="e">
        <f>HLOOKUP(B7,#REF!,28,FALSE)/1000+HLOOKUP(B7,#REF!,39,FALSE)/1000+HLOOKUP(B7,#REF!,50,FALSE)/1000+HLOOKUP(B7,#REF!,61,FALSE)/1000</f>
        <v>#REF!</v>
      </c>
    </row>
    <row r="8" spans="2:16" x14ac:dyDescent="0.25">
      <c r="B8" s="1" t="s">
        <v>42</v>
      </c>
      <c r="C8" s="1" t="e">
        <f>HLOOKUP(B8,#REF!,27,FALSE)/1000+HLOOKUP(B8,#REF!,38,FALSE)/1000+HLOOKUP(B8,#REF!,49,FALSE)/1000+HLOOKUP(B8,#REF!,60,FALSE)/1000</f>
        <v>#REF!</v>
      </c>
      <c r="F8" s="1" t="e">
        <f t="shared" si="0"/>
        <v>#REF!</v>
      </c>
      <c r="I8" s="1" t="e">
        <f>HLOOKUP(B8,#REF!,29,FALSE)/1000+HLOOKUP(B8,#REF!,40,FALSE)/1000+HLOOKUP(B8,#REF!,51,FALSE)/1000+HLOOKUP(B8,#REF!,62,FALSE)/1000</f>
        <v>#REF!</v>
      </c>
      <c r="P8" s="1" t="e">
        <f>HLOOKUP(B8,#REF!,28,FALSE)/1000+HLOOKUP(B8,#REF!,39,FALSE)/1000+HLOOKUP(B8,#REF!,50,FALSE)/1000+HLOOKUP(B8,#REF!,61,FALSE)/1000</f>
        <v>#REF!</v>
      </c>
    </row>
    <row r="9" spans="2:16" x14ac:dyDescent="0.25">
      <c r="B9" s="1" t="s">
        <v>33</v>
      </c>
      <c r="C9" s="1" t="e">
        <f>HLOOKUP(B9,#REF!,27,FALSE)/1000+HLOOKUP(B9,#REF!,38,FALSE)/1000+HLOOKUP(B9,#REF!,49,FALSE)/1000+HLOOKUP(B9,#REF!,60,FALSE)/1000</f>
        <v>#REF!</v>
      </c>
      <c r="F9" s="1" t="e">
        <f t="shared" si="0"/>
        <v>#REF!</v>
      </c>
      <c r="I9" s="1" t="e">
        <f>HLOOKUP(B9,#REF!,29,FALSE)/1000+HLOOKUP(B9,#REF!,40,FALSE)/1000+HLOOKUP(B9,#REF!,51,FALSE)/1000+HLOOKUP(B9,#REF!,62,FALSE)/1000</f>
        <v>#REF!</v>
      </c>
      <c r="P9" s="1" t="e">
        <f>HLOOKUP(B9,#REF!,28,FALSE)/1000+HLOOKUP(B9,#REF!,39,FALSE)/1000+HLOOKUP(B9,#REF!,50,FALSE)/1000+HLOOKUP(B9,#REF!,61,FALSE)/1000</f>
        <v>#REF!</v>
      </c>
    </row>
    <row r="10" spans="2:16" x14ac:dyDescent="0.25">
      <c r="B10" s="1" t="s">
        <v>87</v>
      </c>
      <c r="C10" s="1" t="e">
        <f>HLOOKUP(B10,#REF!,27,FALSE)/1000+HLOOKUP(B10,#REF!,38,FALSE)/1000+HLOOKUP(B10,#REF!,49,FALSE)/1000+HLOOKUP(B10,#REF!,60,FALSE)/1000</f>
        <v>#REF!</v>
      </c>
      <c r="F10" s="1" t="e">
        <f t="shared" si="0"/>
        <v>#REF!</v>
      </c>
      <c r="I10" s="1" t="e">
        <f>HLOOKUP(B10,#REF!,29,FALSE)/1000+HLOOKUP(B10,#REF!,40,FALSE)/1000+HLOOKUP(B10,#REF!,51,FALSE)/1000+HLOOKUP(B10,#REF!,62,FALSE)/1000</f>
        <v>#REF!</v>
      </c>
      <c r="P10" s="1" t="e">
        <f>HLOOKUP(B10,#REF!,28,FALSE)/1000+HLOOKUP(B10,#REF!,39,FALSE)/1000+HLOOKUP(B10,#REF!,50,FALSE)/1000+HLOOKUP(B10,#REF!,61,FALSE)/1000</f>
        <v>#REF!</v>
      </c>
    </row>
    <row r="11" spans="2:16" x14ac:dyDescent="0.25">
      <c r="B11" s="1" t="s">
        <v>39</v>
      </c>
      <c r="C11" s="1" t="e">
        <f>HLOOKUP(B11,#REF!,27,FALSE)/1000+HLOOKUP(B11,#REF!,38,FALSE)/1000+HLOOKUP(B11,#REF!,49,FALSE)/1000+HLOOKUP(B11,#REF!,60,FALSE)/1000</f>
        <v>#REF!</v>
      </c>
      <c r="F11" s="1" t="e">
        <f t="shared" si="0"/>
        <v>#REF!</v>
      </c>
      <c r="I11" s="1" t="e">
        <f>HLOOKUP(B11,#REF!,29,FALSE)/1000+HLOOKUP(B11,#REF!,40,FALSE)/1000+HLOOKUP(B11,#REF!,51,FALSE)/1000+HLOOKUP(B11,#REF!,62,FALSE)/1000</f>
        <v>#REF!</v>
      </c>
      <c r="P11" s="1" t="e">
        <f>HLOOKUP(B11,#REF!,28,FALSE)/1000+HLOOKUP(B11,#REF!,39,FALSE)/1000+HLOOKUP(B11,#REF!,50,FALSE)/1000+HLOOKUP(B11,#REF!,61,FALSE)/1000</f>
        <v>#REF!</v>
      </c>
    </row>
    <row r="12" spans="2:16" x14ac:dyDescent="0.25">
      <c r="B12" s="1" t="s">
        <v>13</v>
      </c>
      <c r="C12" s="1" t="e">
        <f>HLOOKUP(B12,#REF!,27,FALSE)/1000+HLOOKUP(B12,#REF!,38,FALSE)/1000+HLOOKUP(B12,#REF!,49,FALSE)/1000+HLOOKUP(B12,#REF!,60,FALSE)/1000</f>
        <v>#REF!</v>
      </c>
      <c r="F12" s="1" t="e">
        <f t="shared" si="0"/>
        <v>#REF!</v>
      </c>
      <c r="I12" s="1" t="e">
        <f>HLOOKUP(B12,#REF!,29,FALSE)/1000+HLOOKUP(B12,#REF!,40,FALSE)/1000+HLOOKUP(B12,#REF!,51,FALSE)/1000+HLOOKUP(B12,#REF!,62,FALSE)/1000</f>
        <v>#REF!</v>
      </c>
      <c r="P12" s="1" t="e">
        <f>HLOOKUP(B12,#REF!,28,FALSE)/1000+HLOOKUP(B12,#REF!,39,FALSE)/1000+HLOOKUP(B12,#REF!,50,FALSE)/1000+HLOOKUP(B12,#REF!,61,FALSE)/1000</f>
        <v>#REF!</v>
      </c>
    </row>
    <row r="13" spans="2:16" x14ac:dyDescent="0.25">
      <c r="B13" s="1" t="s">
        <v>40</v>
      </c>
      <c r="C13" s="1" t="e">
        <f>HLOOKUP(B13,#REF!,27,FALSE)/1000+HLOOKUP(B13,#REF!,38,FALSE)/1000+HLOOKUP(B13,#REF!,49,FALSE)/1000+HLOOKUP(B13,#REF!,60,FALSE)/1000</f>
        <v>#REF!</v>
      </c>
      <c r="F13" s="1" t="e">
        <f t="shared" si="0"/>
        <v>#REF!</v>
      </c>
      <c r="I13" s="1" t="e">
        <f>HLOOKUP(B13,#REF!,29,FALSE)/1000+HLOOKUP(B13,#REF!,40,FALSE)/1000+HLOOKUP(B13,#REF!,51,FALSE)/1000+HLOOKUP(B13,#REF!,62,FALSE)/1000</f>
        <v>#REF!</v>
      </c>
      <c r="P13" s="1" t="e">
        <f>HLOOKUP(B13,#REF!,28,FALSE)/1000+HLOOKUP(B13,#REF!,39,FALSE)/1000+HLOOKUP(B13,#REF!,50,FALSE)/1000+HLOOKUP(B13,#REF!,61,FALSE)/1000</f>
        <v>#REF!</v>
      </c>
    </row>
    <row r="14" spans="2:16" x14ac:dyDescent="0.25">
      <c r="B14" s="1" t="s">
        <v>47</v>
      </c>
      <c r="C14" s="1" t="e">
        <f>HLOOKUP(B14,#REF!,27,FALSE)/1000+HLOOKUP(B14,#REF!,38,FALSE)/1000+HLOOKUP(B14,#REF!,49,FALSE)/1000+HLOOKUP(B14,#REF!,60,FALSE)/1000</f>
        <v>#REF!</v>
      </c>
      <c r="F14" s="1" t="e">
        <f t="shared" si="0"/>
        <v>#REF!</v>
      </c>
      <c r="I14" s="1" t="e">
        <f>HLOOKUP(B14,#REF!,29,FALSE)/1000+HLOOKUP(B14,#REF!,40,FALSE)/1000+HLOOKUP(B14,#REF!,51,FALSE)/1000+HLOOKUP(B14,#REF!,62,FALSE)/1000</f>
        <v>#REF!</v>
      </c>
      <c r="P14" s="1" t="e">
        <f>HLOOKUP(B14,#REF!,28,FALSE)/1000+HLOOKUP(B14,#REF!,39,FALSE)/1000+HLOOKUP(B14,#REF!,50,FALSE)/1000+HLOOKUP(B14,#REF!,61,FALSE)/1000</f>
        <v>#REF!</v>
      </c>
    </row>
    <row r="15" spans="2:16" x14ac:dyDescent="0.25">
      <c r="B15" s="1" t="s">
        <v>31</v>
      </c>
      <c r="C15" s="1" t="e">
        <f>HLOOKUP(B15,#REF!,27,FALSE)/1000+HLOOKUP(B15,#REF!,38,FALSE)/1000+HLOOKUP(B15,#REF!,49,FALSE)/1000+HLOOKUP(B15,#REF!,60,FALSE)/1000</f>
        <v>#REF!</v>
      </c>
      <c r="F15" s="1" t="e">
        <f t="shared" si="0"/>
        <v>#REF!</v>
      </c>
      <c r="I15" s="1" t="e">
        <f>HLOOKUP(B15,#REF!,29,FALSE)/1000+HLOOKUP(B15,#REF!,40,FALSE)/1000+HLOOKUP(B15,#REF!,51,FALSE)/1000+HLOOKUP(B15,#REF!,62,FALSE)/1000</f>
        <v>#REF!</v>
      </c>
      <c r="P15" s="1" t="e">
        <f>HLOOKUP(B15,#REF!,28,FALSE)/1000+HLOOKUP(B15,#REF!,39,FALSE)/1000+HLOOKUP(B15,#REF!,50,FALSE)/1000+HLOOKUP(B15,#REF!,61,FALSE)/1000</f>
        <v>#REF!</v>
      </c>
    </row>
    <row r="16" spans="2:16" x14ac:dyDescent="0.25">
      <c r="B16" s="1" t="s">
        <v>45</v>
      </c>
      <c r="C16" s="1" t="e">
        <f>HLOOKUP(B16,#REF!,27,FALSE)/1000+HLOOKUP(B16,#REF!,38,FALSE)/1000+HLOOKUP(B16,#REF!,49,FALSE)/1000+HLOOKUP(B16,#REF!,60,FALSE)/1000</f>
        <v>#REF!</v>
      </c>
      <c r="F16" s="1" t="e">
        <f t="shared" si="0"/>
        <v>#REF!</v>
      </c>
      <c r="I16" s="1" t="e">
        <f>HLOOKUP(B16,#REF!,29,FALSE)/1000+HLOOKUP(B16,#REF!,40,FALSE)/1000+HLOOKUP(B16,#REF!,51,FALSE)/1000+HLOOKUP(B16,#REF!,62,FALSE)/1000</f>
        <v>#REF!</v>
      </c>
      <c r="P16" s="1" t="e">
        <f>HLOOKUP(B16,#REF!,28,FALSE)/1000+HLOOKUP(B16,#REF!,39,FALSE)/1000+HLOOKUP(B16,#REF!,50,FALSE)/1000+HLOOKUP(B16,#REF!,61,FALSE)/1000</f>
        <v>#REF!</v>
      </c>
    </row>
    <row r="17" spans="2:16" x14ac:dyDescent="0.25">
      <c r="B17" s="1" t="s">
        <v>9</v>
      </c>
      <c r="C17" s="1" t="e">
        <f>HLOOKUP(B17,#REF!,27,FALSE)/1000+HLOOKUP(B17,#REF!,38,FALSE)/1000+HLOOKUP(B17,#REF!,49,FALSE)/1000+HLOOKUP(B17,#REF!,60,FALSE)/1000</f>
        <v>#REF!</v>
      </c>
      <c r="F17" s="1" t="e">
        <f t="shared" si="0"/>
        <v>#REF!</v>
      </c>
      <c r="I17" s="1" t="e">
        <f>HLOOKUP(B17,#REF!,29,FALSE)/1000+HLOOKUP(B17,#REF!,40,FALSE)/1000+HLOOKUP(B17,#REF!,51,FALSE)/1000+HLOOKUP(B17,#REF!,62,FALSE)/1000</f>
        <v>#REF!</v>
      </c>
      <c r="P17" s="1" t="e">
        <f>HLOOKUP(B17,#REF!,28,FALSE)/1000+HLOOKUP(B17,#REF!,39,FALSE)/1000+HLOOKUP(B17,#REF!,50,FALSE)/1000+HLOOKUP(B17,#REF!,61,FALSE)/1000</f>
        <v>#REF!</v>
      </c>
    </row>
    <row r="18" spans="2:16" x14ac:dyDescent="0.25">
      <c r="B18" s="1" t="s">
        <v>46</v>
      </c>
      <c r="C18" s="1" t="e">
        <f>HLOOKUP(B18,#REF!,27,FALSE)/1000+HLOOKUP(B18,#REF!,38,FALSE)/1000+HLOOKUP(B18,#REF!,49,FALSE)/1000+HLOOKUP(B18,#REF!,60,FALSE)/1000</f>
        <v>#REF!</v>
      </c>
      <c r="F18" s="1" t="e">
        <f t="shared" si="0"/>
        <v>#REF!</v>
      </c>
      <c r="I18" s="1" t="e">
        <f>HLOOKUP(B18,#REF!,29,FALSE)/1000+HLOOKUP(B18,#REF!,40,FALSE)/1000+HLOOKUP(B18,#REF!,51,FALSE)/1000+HLOOKUP(B18,#REF!,62,FALSE)/1000</f>
        <v>#REF!</v>
      </c>
      <c r="P18" s="1" t="e">
        <f>HLOOKUP(B18,#REF!,28,FALSE)/1000+HLOOKUP(B18,#REF!,39,FALSE)/1000+HLOOKUP(B18,#REF!,50,FALSE)/1000+HLOOKUP(B18,#REF!,61,FALSE)/1000</f>
        <v>#REF!</v>
      </c>
    </row>
    <row r="19" spans="2:16" x14ac:dyDescent="0.25">
      <c r="B19" s="1" t="s">
        <v>34</v>
      </c>
      <c r="C19" s="1" t="e">
        <f>HLOOKUP(B19,#REF!,27,FALSE)/1000+HLOOKUP(B19,#REF!,38,FALSE)/1000+HLOOKUP(B19,#REF!,49,FALSE)/1000+HLOOKUP(B19,#REF!,60,FALSE)/1000</f>
        <v>#REF!</v>
      </c>
      <c r="F19" s="1" t="e">
        <f t="shared" si="0"/>
        <v>#REF!</v>
      </c>
      <c r="I19" s="1" t="e">
        <f>HLOOKUP(B19,#REF!,29,FALSE)/1000+HLOOKUP(B19,#REF!,40,FALSE)/1000+HLOOKUP(B19,#REF!,51,FALSE)/1000+HLOOKUP(B19,#REF!,62,FALSE)/1000</f>
        <v>#REF!</v>
      </c>
      <c r="P19" s="1" t="e">
        <f>HLOOKUP(B19,#REF!,28,FALSE)/1000+HLOOKUP(B19,#REF!,39,FALSE)/1000+HLOOKUP(B19,#REF!,50,FALSE)/1000+HLOOKUP(B19,#REF!,61,FALSE)/1000</f>
        <v>#REF!</v>
      </c>
    </row>
    <row r="20" spans="2:16" x14ac:dyDescent="0.25">
      <c r="B20" s="1" t="s">
        <v>25</v>
      </c>
      <c r="C20" s="1" t="e">
        <f>HLOOKUP(B20,#REF!,27,FALSE)/1000+HLOOKUP(B20,#REF!,38,FALSE)/1000+HLOOKUP(B20,#REF!,49,FALSE)/1000+HLOOKUP(B20,#REF!,60,FALSE)/1000</f>
        <v>#REF!</v>
      </c>
      <c r="F20" s="1" t="e">
        <f t="shared" si="0"/>
        <v>#REF!</v>
      </c>
      <c r="I20" s="1" t="e">
        <f>HLOOKUP(B20,#REF!,29,FALSE)/1000+HLOOKUP(B20,#REF!,40,FALSE)/1000+HLOOKUP(B20,#REF!,51,FALSE)/1000+HLOOKUP(B20,#REF!,62,FALSE)/1000</f>
        <v>#REF!</v>
      </c>
      <c r="P20" s="1" t="e">
        <f>HLOOKUP(B20,#REF!,28,FALSE)/1000+HLOOKUP(B20,#REF!,39,FALSE)/1000+HLOOKUP(B20,#REF!,50,FALSE)/1000+HLOOKUP(B20,#REF!,61,FALSE)/1000</f>
        <v>#REF!</v>
      </c>
    </row>
    <row r="21" spans="2:16" x14ac:dyDescent="0.25">
      <c r="B21" s="1" t="s">
        <v>11</v>
      </c>
      <c r="C21" s="1" t="e">
        <f>HLOOKUP(B21,#REF!,27,FALSE)/1000+HLOOKUP(B21,#REF!,38,FALSE)/1000+HLOOKUP(B21,#REF!,49,FALSE)/1000+HLOOKUP(B21,#REF!,60,FALSE)/1000</f>
        <v>#REF!</v>
      </c>
      <c r="F21" s="1" t="e">
        <f t="shared" si="0"/>
        <v>#REF!</v>
      </c>
      <c r="I21" s="1" t="e">
        <f>HLOOKUP(B21,#REF!,29,FALSE)/1000+HLOOKUP(B21,#REF!,40,FALSE)/1000+HLOOKUP(B21,#REF!,51,FALSE)/1000+HLOOKUP(B21,#REF!,62,FALSE)/1000</f>
        <v>#REF!</v>
      </c>
      <c r="P21" s="1" t="e">
        <f>HLOOKUP(B21,#REF!,28,FALSE)/1000+HLOOKUP(B21,#REF!,39,FALSE)/1000+HLOOKUP(B21,#REF!,50,FALSE)/1000+HLOOKUP(B21,#REF!,61,FALSE)/1000</f>
        <v>#REF!</v>
      </c>
    </row>
    <row r="22" spans="2:16" x14ac:dyDescent="0.25">
      <c r="B22" s="1" t="s">
        <v>43</v>
      </c>
      <c r="C22" s="1" t="e">
        <f>HLOOKUP(B22,#REF!,27,FALSE)/1000+HLOOKUP(B22,#REF!,38,FALSE)/1000+HLOOKUP(B22,#REF!,49,FALSE)/1000+HLOOKUP(B22,#REF!,60,FALSE)/1000</f>
        <v>#REF!</v>
      </c>
      <c r="F22" s="1" t="e">
        <f t="shared" si="0"/>
        <v>#REF!</v>
      </c>
      <c r="I22" s="1" t="e">
        <f>HLOOKUP(B22,#REF!,29,FALSE)/1000+HLOOKUP(B22,#REF!,40,FALSE)/1000+HLOOKUP(B22,#REF!,51,FALSE)/1000+HLOOKUP(B22,#REF!,62,FALSE)/1000</f>
        <v>#REF!</v>
      </c>
      <c r="P22" s="1" t="e">
        <f>HLOOKUP(B22,#REF!,28,FALSE)/1000+HLOOKUP(B22,#REF!,39,FALSE)/1000+HLOOKUP(B22,#REF!,50,FALSE)/1000+HLOOKUP(B22,#REF!,61,FALSE)/1000</f>
        <v>#REF!</v>
      </c>
    </row>
    <row r="23" spans="2:16" x14ac:dyDescent="0.25">
      <c r="B23" s="1" t="s">
        <v>73</v>
      </c>
      <c r="C23" s="1">
        <f>HLOOKUP(B23,[2]Result!$B$1:$AO$16,13,FALSE)/1000</f>
        <v>203.078</v>
      </c>
      <c r="F23" s="1">
        <f t="shared" si="0"/>
        <v>340.02100000000007</v>
      </c>
      <c r="I23" s="1">
        <f>HLOOKUP(B23,[2]Result!$B$1:$AO$16,15,FALSE)/1000</f>
        <v>547.47400000000005</v>
      </c>
      <c r="P23" s="1">
        <f>HLOOKUP(B23,[2]Result!$B$1:$AO$16,14,FALSE)/1000</f>
        <v>543.09900000000005</v>
      </c>
    </row>
    <row r="24" spans="2:16" x14ac:dyDescent="0.25">
      <c r="B24" s="1" t="s">
        <v>24</v>
      </c>
      <c r="C24" s="1" t="e">
        <f>HLOOKUP(B24,#REF!,27,FALSE)/1000+HLOOKUP(B24,#REF!,38,FALSE)/1000+HLOOKUP(B24,#REF!,49,FALSE)/1000+HLOOKUP(B24,#REF!,60,FALSE)/1000</f>
        <v>#REF!</v>
      </c>
      <c r="F24" s="1" t="e">
        <f t="shared" si="0"/>
        <v>#REF!</v>
      </c>
      <c r="I24" s="1" t="e">
        <f>HLOOKUP(B24,#REF!,29,FALSE)/1000+HLOOKUP(B24,#REF!,40,FALSE)/1000+HLOOKUP(B24,#REF!,51,FALSE)/1000+HLOOKUP(B24,#REF!,62,FALSE)/1000</f>
        <v>#REF!</v>
      </c>
      <c r="P24" s="1" t="e">
        <f>HLOOKUP(B24,#REF!,28,FALSE)/1000+HLOOKUP(B24,#REF!,39,FALSE)/1000+HLOOKUP(B24,#REF!,50,FALSE)/1000+HLOOKUP(B24,#REF!,61,FALSE)/1000</f>
        <v>#REF!</v>
      </c>
    </row>
    <row r="25" spans="2:16" x14ac:dyDescent="0.25">
      <c r="B25" s="1" t="s">
        <v>71</v>
      </c>
      <c r="C25" s="1">
        <f>HLOOKUP(B25,[2]Result!$B$1:$AO$16,13,FALSE)/1000</f>
        <v>323.45499999999998</v>
      </c>
      <c r="F25" s="1">
        <f t="shared" si="0"/>
        <v>489.892</v>
      </c>
      <c r="I25" s="1">
        <f>HLOOKUP(B25,[2]Result!$B$1:$AO$16,15,FALSE)/1000</f>
        <v>423.947</v>
      </c>
      <c r="P25" s="1">
        <f>HLOOKUP(B25,[2]Result!$B$1:$AO$16,14,FALSE)/1000</f>
        <v>813.34699999999998</v>
      </c>
    </row>
    <row r="26" spans="2:16" x14ac:dyDescent="0.25">
      <c r="B26" s="1" t="s">
        <v>59</v>
      </c>
      <c r="C26" s="1">
        <f>HLOOKUP(B26,[2]Result!$B$1:$AO$16,13,FALSE)/1000</f>
        <v>362.19409999999999</v>
      </c>
      <c r="F26" s="1">
        <f t="shared" si="0"/>
        <v>544.72180000000003</v>
      </c>
      <c r="I26" s="1">
        <f>HLOOKUP(B26,[2]Result!$B$1:$AO$16,15,FALSE)/1000</f>
        <v>367.95120000000003</v>
      </c>
      <c r="P26" s="1">
        <f>HLOOKUP(B26,[2]Result!$B$1:$AO$16,14,FALSE)/1000</f>
        <v>906.91590000000008</v>
      </c>
    </row>
    <row r="27" spans="2:16" x14ac:dyDescent="0.25">
      <c r="B27" s="1" t="s">
        <v>75</v>
      </c>
      <c r="C27" s="1">
        <f>HLOOKUP(B27,[2]Result!$B$1:$AO$16,13,FALSE)/1000</f>
        <v>259.42</v>
      </c>
      <c r="F27" s="1">
        <f t="shared" si="0"/>
        <v>363.14500000000004</v>
      </c>
      <c r="I27" s="1">
        <f>HLOOKUP(B27,[2]Result!$B$1:$AO$16,15,FALSE)/1000</f>
        <v>365.30500000000001</v>
      </c>
      <c r="P27" s="1">
        <f>HLOOKUP(B27,[2]Result!$B$1:$AO$16,14,FALSE)/1000</f>
        <v>622.56500000000005</v>
      </c>
    </row>
    <row r="28" spans="2:16" x14ac:dyDescent="0.25">
      <c r="B28" s="1" t="s">
        <v>84</v>
      </c>
      <c r="C28" s="1">
        <f>HLOOKUP(B28,[2]Result!$B$1:$AO$16,13,FALSE)/1000</f>
        <v>227.02199999999999</v>
      </c>
      <c r="F28" s="1">
        <f t="shared" si="0"/>
        <v>271.82</v>
      </c>
      <c r="I28" s="1">
        <f>HLOOKUP(B28,[2]Result!$B$1:$AO$16,15,FALSE)/1000</f>
        <v>347.34699999999998</v>
      </c>
      <c r="P28" s="1">
        <f>HLOOKUP(B28,[2]Result!$B$1:$AO$16,14,FALSE)/1000</f>
        <v>498.84199999999998</v>
      </c>
    </row>
    <row r="29" spans="2:16" x14ac:dyDescent="0.25">
      <c r="B29" s="1" t="s">
        <v>38</v>
      </c>
      <c r="C29" s="1" t="e">
        <f>HLOOKUP(B29,#REF!,27,FALSE)/1000+HLOOKUP(B29,#REF!,38,FALSE)/1000+HLOOKUP(B29,#REF!,49,FALSE)/1000+HLOOKUP(B29,#REF!,60,FALSE)/1000</f>
        <v>#REF!</v>
      </c>
      <c r="F29" s="1" t="e">
        <f t="shared" si="0"/>
        <v>#REF!</v>
      </c>
      <c r="I29" s="1" t="e">
        <f>HLOOKUP(B29,#REF!,29,FALSE)/1000+HLOOKUP(B29,#REF!,40,FALSE)/1000+HLOOKUP(B29,#REF!,51,FALSE)/1000+HLOOKUP(B29,#REF!,62,FALSE)/1000</f>
        <v>#REF!</v>
      </c>
      <c r="P29" s="1" t="e">
        <f>HLOOKUP(B29,#REF!,28,FALSE)/1000+HLOOKUP(B29,#REF!,39,FALSE)/1000+HLOOKUP(B29,#REF!,50,FALSE)/1000+HLOOKUP(B29,#REF!,61,FALSE)/1000</f>
        <v>#REF!</v>
      </c>
    </row>
    <row r="30" spans="2:16" x14ac:dyDescent="0.25">
      <c r="B30" s="1" t="s">
        <v>80</v>
      </c>
      <c r="C30" s="1">
        <f>HLOOKUP(B30,[2]Result!$B$1:$AO$16,13,FALSE)/1000</f>
        <v>295.029</v>
      </c>
      <c r="F30" s="1">
        <f t="shared" si="0"/>
        <v>365.94600000000003</v>
      </c>
      <c r="I30" s="1">
        <f>HLOOKUP(B30,[2]Result!$B$1:$AO$16,15,FALSE)/1000</f>
        <v>338.04</v>
      </c>
      <c r="P30" s="1">
        <f>HLOOKUP(B30,[2]Result!$B$1:$AO$16,14,FALSE)/1000</f>
        <v>660.97500000000002</v>
      </c>
    </row>
    <row r="31" spans="2:16" x14ac:dyDescent="0.25">
      <c r="B31" s="1" t="s">
        <v>35</v>
      </c>
      <c r="C31" s="1" t="e">
        <f>HLOOKUP(B31,#REF!,27,FALSE)/1000+HLOOKUP(B31,#REF!,38,FALSE)/1000+HLOOKUP(B31,#REF!,49,FALSE)/1000+HLOOKUP(B31,#REF!,60,FALSE)/1000</f>
        <v>#REF!</v>
      </c>
      <c r="F31" s="1" t="e">
        <f t="shared" si="0"/>
        <v>#REF!</v>
      </c>
      <c r="I31" s="1" t="e">
        <f>HLOOKUP(B31,#REF!,29,FALSE)/1000+HLOOKUP(B31,#REF!,40,FALSE)/1000+HLOOKUP(B31,#REF!,51,FALSE)/1000+HLOOKUP(B31,#REF!,62,FALSE)/1000</f>
        <v>#REF!</v>
      </c>
      <c r="P31" s="1" t="e">
        <f>HLOOKUP(B31,#REF!,28,FALSE)/1000+HLOOKUP(B31,#REF!,39,FALSE)/1000+HLOOKUP(B31,#REF!,50,FALSE)/1000+HLOOKUP(B31,#REF!,61,FALSE)/1000</f>
        <v>#REF!</v>
      </c>
    </row>
    <row r="32" spans="2:16" x14ac:dyDescent="0.25">
      <c r="B32" s="1" t="s">
        <v>83</v>
      </c>
      <c r="C32" s="1">
        <f>HLOOKUP(B32,[2]Result!$B$1:$AO$16,13,FALSE)/1000</f>
        <v>242.227</v>
      </c>
      <c r="F32" s="1">
        <f t="shared" si="0"/>
        <v>252.99999999999997</v>
      </c>
      <c r="I32" s="1">
        <f>HLOOKUP(B32,[2]Result!$B$1:$AO$16,15,FALSE)/1000</f>
        <v>294.71499999999997</v>
      </c>
      <c r="P32" s="1">
        <f>HLOOKUP(B32,[2]Result!$B$1:$AO$16,14,FALSE)/1000</f>
        <v>495.22699999999998</v>
      </c>
    </row>
    <row r="33" spans="2:16" x14ac:dyDescent="0.25">
      <c r="B33" s="1" t="s">
        <v>67</v>
      </c>
      <c r="C33" s="1">
        <f>HLOOKUP(B33,[2]Result!$B$1:$AO$16,13,FALSE)/1000</f>
        <v>198.69</v>
      </c>
      <c r="F33" s="1">
        <f t="shared" si="0"/>
        <v>205.95999999999998</v>
      </c>
      <c r="I33" s="1">
        <f>HLOOKUP(B33,[2]Result!$B$1:$AO$16,15,FALSE)/1000</f>
        <v>286.27600000000001</v>
      </c>
      <c r="P33" s="1">
        <f>HLOOKUP(B33,[2]Result!$B$1:$AO$16,14,FALSE)/1000</f>
        <v>404.65</v>
      </c>
    </row>
    <row r="34" spans="2:16" x14ac:dyDescent="0.25">
      <c r="B34" s="1" t="s">
        <v>48</v>
      </c>
      <c r="C34" s="1">
        <f>HLOOKUP(B34,[2]Result!$B$1:$AO$16,13,FALSE)/1000</f>
        <v>299.87049999999999</v>
      </c>
      <c r="F34" s="1">
        <f t="shared" si="0"/>
        <v>251.53100000000006</v>
      </c>
      <c r="I34" s="1">
        <f>HLOOKUP(B34,[2]Result!$B$1:$AO$16,15,FALSE)/1000</f>
        <v>263.036</v>
      </c>
      <c r="P34" s="1">
        <f>HLOOKUP(B34,[2]Result!$B$1:$AO$16,14,FALSE)/1000</f>
        <v>551.40150000000006</v>
      </c>
    </row>
    <row r="35" spans="2:16" x14ac:dyDescent="0.25">
      <c r="B35" s="1" t="s">
        <v>69</v>
      </c>
      <c r="C35" s="1">
        <f>HLOOKUP(B35,[2]Result!$B$1:$AO$16,13,FALSE)/1000</f>
        <v>216.38499999999999</v>
      </c>
      <c r="F35" s="1">
        <f t="shared" ref="F35:F66" si="1">P35-C35</f>
        <v>289.17200000000003</v>
      </c>
      <c r="I35" s="1">
        <f>HLOOKUP(B35,[2]Result!$B$1:$AO$16,15,FALSE)/1000</f>
        <v>236.02199999999999</v>
      </c>
      <c r="P35" s="1">
        <f>HLOOKUP(B35,[2]Result!$B$1:$AO$16,14,FALSE)/1000</f>
        <v>505.55700000000002</v>
      </c>
    </row>
    <row r="36" spans="2:16" x14ac:dyDescent="0.25">
      <c r="B36" s="1" t="s">
        <v>51</v>
      </c>
      <c r="C36" s="1">
        <f>HLOOKUP(B36,[2]Result!$B$1:$AO$16,13,FALSE)/1000</f>
        <v>126.7</v>
      </c>
      <c r="F36" s="1">
        <f t="shared" si="1"/>
        <v>277.375</v>
      </c>
      <c r="I36" s="1">
        <f>HLOOKUP(B36,[2]Result!$B$1:$AO$16,15,FALSE)/1000</f>
        <v>231.20500000000001</v>
      </c>
      <c r="P36" s="1">
        <f>HLOOKUP(B36,[2]Result!$B$1:$AO$16,14,FALSE)/1000</f>
        <v>404.07499999999999</v>
      </c>
    </row>
    <row r="37" spans="2:16" x14ac:dyDescent="0.25">
      <c r="B37" s="1" t="s">
        <v>66</v>
      </c>
      <c r="C37" s="1">
        <f>HLOOKUP(B37,[2]Result!$B$1:$AO$16,13,FALSE)/1000</f>
        <v>190.73500000000001</v>
      </c>
      <c r="F37" s="1">
        <f t="shared" si="1"/>
        <v>207.48899999999998</v>
      </c>
      <c r="I37" s="1">
        <f>HLOOKUP(B37,[2]Result!$B$1:$AO$16,15,FALSE)/1000</f>
        <v>205.047</v>
      </c>
      <c r="P37" s="1">
        <f>HLOOKUP(B37,[2]Result!$B$1:$AO$16,14,FALSE)/1000</f>
        <v>398.22399999999999</v>
      </c>
    </row>
    <row r="38" spans="2:16" x14ac:dyDescent="0.25">
      <c r="B38" s="1" t="s">
        <v>54</v>
      </c>
      <c r="C38" s="1">
        <f>HLOOKUP(B38,[2]Result!$B$1:$AO$16,13,FALSE)/1000</f>
        <v>156.11000000000001</v>
      </c>
      <c r="F38" s="1">
        <f t="shared" si="1"/>
        <v>152.26099999999997</v>
      </c>
      <c r="I38" s="1">
        <f>HLOOKUP(B38,[2]Result!$B$1:$AO$16,15,FALSE)/1000</f>
        <v>203</v>
      </c>
      <c r="P38" s="1">
        <f>HLOOKUP(B38,[2]Result!$B$1:$AO$16,14,FALSE)/1000</f>
        <v>308.37099999999998</v>
      </c>
    </row>
    <row r="39" spans="2:16" x14ac:dyDescent="0.25">
      <c r="B39" s="1" t="s">
        <v>82</v>
      </c>
      <c r="C39" s="1">
        <f>HLOOKUP(B39,[2]Result!$B$1:$AO$16,13,FALSE)/1000</f>
        <v>181.47300000000001</v>
      </c>
      <c r="F39" s="1">
        <f t="shared" si="1"/>
        <v>222.536</v>
      </c>
      <c r="I39" s="1">
        <f>HLOOKUP(B39,[2]Result!$B$1:$AO$16,15,FALSE)/1000</f>
        <v>193.637</v>
      </c>
      <c r="P39" s="1">
        <f>HLOOKUP(B39,[2]Result!$B$1:$AO$16,14,FALSE)/1000</f>
        <v>404.00900000000001</v>
      </c>
    </row>
    <row r="40" spans="2:16" x14ac:dyDescent="0.25">
      <c r="B40" s="1" t="s">
        <v>44</v>
      </c>
      <c r="C40" s="1" t="e">
        <f>HLOOKUP(B40,#REF!,27,FALSE)/1000+HLOOKUP(B40,#REF!,38,FALSE)/1000+HLOOKUP(B40,#REF!,49,FALSE)/1000+HLOOKUP(B40,#REF!,60,FALSE)/1000</f>
        <v>#REF!</v>
      </c>
      <c r="F40" s="1" t="e">
        <f t="shared" si="1"/>
        <v>#REF!</v>
      </c>
      <c r="I40" s="1" t="e">
        <f>HLOOKUP(B40,#REF!,29,FALSE)/1000+HLOOKUP(B40,#REF!,40,FALSE)/1000+HLOOKUP(B40,#REF!,51,FALSE)/1000+HLOOKUP(B40,#REF!,62,FALSE)/1000</f>
        <v>#REF!</v>
      </c>
      <c r="P40" s="1" t="e">
        <f>HLOOKUP(B40,#REF!,28,FALSE)/1000+HLOOKUP(B40,#REF!,39,FALSE)/1000+HLOOKUP(B40,#REF!,50,FALSE)/1000+HLOOKUP(B40,#REF!,61,FALSE)/1000</f>
        <v>#REF!</v>
      </c>
    </row>
    <row r="41" spans="2:16" x14ac:dyDescent="0.25">
      <c r="B41" s="1" t="s">
        <v>52</v>
      </c>
      <c r="C41" s="1">
        <f>HLOOKUP(B41,[2]Result!$B$1:$AO$16,13,FALSE)/1000</f>
        <v>48.875</v>
      </c>
      <c r="F41" s="1">
        <f t="shared" si="1"/>
        <v>51.239999999999995</v>
      </c>
      <c r="I41" s="1">
        <f>HLOOKUP(B41,[2]Result!$B$1:$AO$16,15,FALSE)/1000</f>
        <v>180.17</v>
      </c>
      <c r="P41" s="1">
        <f>HLOOKUP(B41,[2]Result!$B$1:$AO$16,14,FALSE)/1000</f>
        <v>100.11499999999999</v>
      </c>
    </row>
    <row r="42" spans="2:16" x14ac:dyDescent="0.25">
      <c r="B42" s="1" t="s">
        <v>53</v>
      </c>
      <c r="C42" s="1">
        <f>HLOOKUP(B42,[2]Result!$B$1:$AO$16,13,FALSE)/1000</f>
        <v>123.31699999999999</v>
      </c>
      <c r="F42" s="1">
        <f t="shared" si="1"/>
        <v>160.87</v>
      </c>
      <c r="I42" s="1">
        <f>HLOOKUP(B42,[2]Result!$B$1:$AO$16,15,FALSE)/1000</f>
        <v>178.90700000000001</v>
      </c>
      <c r="P42" s="1">
        <f>HLOOKUP(B42,[2]Result!$B$1:$AO$16,14,FALSE)/1000</f>
        <v>284.18700000000001</v>
      </c>
    </row>
    <row r="43" spans="2:16" x14ac:dyDescent="0.25">
      <c r="B43" s="1" t="s">
        <v>78</v>
      </c>
      <c r="C43" s="1">
        <f>HLOOKUP(B43,[2]Result!$B$1:$AO$16,13,FALSE)/1000</f>
        <v>94.084999999999994</v>
      </c>
      <c r="F43" s="1">
        <f t="shared" si="1"/>
        <v>115.85100000000001</v>
      </c>
      <c r="I43" s="1">
        <f>HLOOKUP(B43,[2]Result!$B$1:$AO$16,15,FALSE)/1000</f>
        <v>154.934</v>
      </c>
      <c r="P43" s="1">
        <f>HLOOKUP(B43,[2]Result!$B$1:$AO$16,14,FALSE)/1000</f>
        <v>209.93600000000001</v>
      </c>
    </row>
    <row r="44" spans="2:16" x14ac:dyDescent="0.25">
      <c r="B44" s="1" t="s">
        <v>74</v>
      </c>
      <c r="C44" s="1">
        <f>HLOOKUP(B44,[2]Result!$B$1:$AO$16,13,FALSE)/1000</f>
        <v>151.57</v>
      </c>
      <c r="F44" s="1">
        <f t="shared" si="1"/>
        <v>154.28800000000001</v>
      </c>
      <c r="I44" s="1">
        <f>HLOOKUP(B44,[2]Result!$B$1:$AO$16,15,FALSE)/1000</f>
        <v>143.178</v>
      </c>
      <c r="P44" s="1">
        <f>HLOOKUP(B44,[2]Result!$B$1:$AO$16,14,FALSE)/1000</f>
        <v>305.858</v>
      </c>
    </row>
    <row r="45" spans="2:16" x14ac:dyDescent="0.25">
      <c r="B45" s="1" t="s">
        <v>79</v>
      </c>
      <c r="C45" s="1">
        <f>HLOOKUP(B45,[2]Result!$B$1:$AO$16,13,FALSE)/1000</f>
        <v>53.97</v>
      </c>
      <c r="F45" s="1">
        <f t="shared" si="1"/>
        <v>139.46</v>
      </c>
      <c r="I45" s="1">
        <f>HLOOKUP(B45,[2]Result!$B$1:$AO$16,15,FALSE)/1000</f>
        <v>141.56</v>
      </c>
      <c r="P45" s="1">
        <f>HLOOKUP(B45,[2]Result!$B$1:$AO$16,14,FALSE)/1000</f>
        <v>193.43</v>
      </c>
    </row>
    <row r="46" spans="2:16" x14ac:dyDescent="0.25">
      <c r="B46" s="1" t="s">
        <v>56</v>
      </c>
      <c r="C46" s="1">
        <f>HLOOKUP(B46,[2]Result!$B$1:$AO$16,13,FALSE)/1000</f>
        <v>130.55500000000001</v>
      </c>
      <c r="F46" s="1">
        <f t="shared" si="1"/>
        <v>171.46199999999999</v>
      </c>
      <c r="I46" s="1">
        <f>HLOOKUP(B46,[2]Result!$B$1:$AO$16,15,FALSE)/1000</f>
        <v>138.33500000000001</v>
      </c>
      <c r="P46" s="1">
        <f>HLOOKUP(B46,[2]Result!$B$1:$AO$16,14,FALSE)/1000</f>
        <v>302.017</v>
      </c>
    </row>
    <row r="47" spans="2:16" x14ac:dyDescent="0.25">
      <c r="B47" s="1" t="s">
        <v>60</v>
      </c>
      <c r="C47" s="1">
        <f>HLOOKUP(B47,[2]Result!$B$1:$AO$16,13,FALSE)/1000</f>
        <v>152.88200000000001</v>
      </c>
      <c r="F47" s="1">
        <f t="shared" si="1"/>
        <v>149.10500000000002</v>
      </c>
      <c r="I47" s="1">
        <f>HLOOKUP(B47,[2]Result!$B$1:$AO$16,15,FALSE)/1000</f>
        <v>137.18100000000001</v>
      </c>
      <c r="P47" s="1">
        <f>HLOOKUP(B47,[2]Result!$B$1:$AO$16,14,FALSE)/1000</f>
        <v>301.98700000000002</v>
      </c>
    </row>
    <row r="48" spans="2:16" x14ac:dyDescent="0.25">
      <c r="B48" s="1" t="s">
        <v>63</v>
      </c>
      <c r="C48" s="1">
        <f>HLOOKUP(B48,[2]Result!$B$1:$AO$16,13,FALSE)/1000</f>
        <v>90.578999999999994</v>
      </c>
      <c r="F48" s="1">
        <f t="shared" si="1"/>
        <v>100.682</v>
      </c>
      <c r="I48" s="1">
        <f>HLOOKUP(B48,[2]Result!$B$1:$AO$16,15,FALSE)/1000</f>
        <v>132.768</v>
      </c>
      <c r="P48" s="1">
        <f>HLOOKUP(B48,[2]Result!$B$1:$AO$16,14,FALSE)/1000</f>
        <v>191.261</v>
      </c>
    </row>
    <row r="49" spans="2:16" x14ac:dyDescent="0.25">
      <c r="B49" s="1" t="s">
        <v>72</v>
      </c>
      <c r="C49" s="1">
        <f>HLOOKUP(B49,[2]Result!$B$1:$AO$16,13,FALSE)/1000</f>
        <v>88.03</v>
      </c>
      <c r="F49" s="1">
        <f t="shared" si="1"/>
        <v>83.246000000000009</v>
      </c>
      <c r="I49" s="1">
        <f>HLOOKUP(B49,[2]Result!$B$1:$AO$16,15,FALSE)/1000</f>
        <v>124.82899999999999</v>
      </c>
      <c r="P49" s="1">
        <f>HLOOKUP(B49,[2]Result!$B$1:$AO$16,14,FALSE)/1000</f>
        <v>171.27600000000001</v>
      </c>
    </row>
    <row r="50" spans="2:16" x14ac:dyDescent="0.25">
      <c r="B50" s="1" t="s">
        <v>86</v>
      </c>
      <c r="C50" s="1">
        <f>HLOOKUP(B50,[2]Result!$B$1:$AQ$16,13,FALSE)/1000</f>
        <v>42.720999999999997</v>
      </c>
      <c r="F50" s="1">
        <f t="shared" si="1"/>
        <v>71.105999999999995</v>
      </c>
      <c r="I50" s="1">
        <f>HLOOKUP(B50,[2]Result!$B$1:$AQ$16,15,FALSE)/1000</f>
        <v>104.499</v>
      </c>
      <c r="P50" s="1">
        <f>HLOOKUP(B50,[2]Result!$B$1:$AQ$16,14,FALSE)/1000</f>
        <v>113.827</v>
      </c>
    </row>
    <row r="51" spans="2:16" x14ac:dyDescent="0.25">
      <c r="B51" s="1" t="s">
        <v>70</v>
      </c>
      <c r="C51" s="1">
        <f>HLOOKUP(B51,[2]Result!$B$1:$AO$16,13,FALSE)/1000</f>
        <v>61.92</v>
      </c>
      <c r="F51" s="1">
        <f t="shared" si="1"/>
        <v>98.00500000000001</v>
      </c>
      <c r="I51" s="1">
        <f>HLOOKUP(B51,[2]Result!$B$1:$AO$16,15,FALSE)/1000</f>
        <v>101.928</v>
      </c>
      <c r="P51" s="1">
        <f>HLOOKUP(B51,[2]Result!$B$1:$AO$16,14,FALSE)/1000</f>
        <v>159.92500000000001</v>
      </c>
    </row>
    <row r="52" spans="2:16" x14ac:dyDescent="0.25">
      <c r="B52" s="1" t="s">
        <v>49</v>
      </c>
      <c r="C52" s="1">
        <f>HLOOKUP(B52,[2]Result!$B$1:$AO$16,13,FALSE)/1000</f>
        <v>100.384</v>
      </c>
      <c r="F52" s="1">
        <f t="shared" si="1"/>
        <v>95.95</v>
      </c>
      <c r="I52" s="1">
        <f>HLOOKUP(B52,[2]Result!$B$1:$AO$16,15,FALSE)/1000</f>
        <v>99.361999999999995</v>
      </c>
      <c r="P52" s="1">
        <f>HLOOKUP(B52,[2]Result!$B$1:$AO$16,14,FALSE)/1000</f>
        <v>196.334</v>
      </c>
    </row>
    <row r="53" spans="2:16" x14ac:dyDescent="0.25">
      <c r="B53" s="1" t="s">
        <v>65</v>
      </c>
      <c r="C53" s="1">
        <f>HLOOKUP(B53,[2]Result!$B$1:$AO$16,13,FALSE)/1000</f>
        <v>39.442</v>
      </c>
      <c r="F53" s="1">
        <f t="shared" si="1"/>
        <v>104.78700000000001</v>
      </c>
      <c r="I53" s="1">
        <f>HLOOKUP(B53,[2]Result!$B$1:$AO$16,15,FALSE)/1000</f>
        <v>80.876999999999995</v>
      </c>
      <c r="P53" s="1">
        <f>HLOOKUP(B53,[2]Result!$B$1:$AO$16,14,FALSE)/1000</f>
        <v>144.22900000000001</v>
      </c>
    </row>
    <row r="54" spans="2:16" x14ac:dyDescent="0.25">
      <c r="B54" s="1" t="s">
        <v>62</v>
      </c>
      <c r="C54" s="1">
        <f>HLOOKUP(B54,[2]Result!$B$1:$AO$16,13,FALSE)/1000</f>
        <v>61.295000000000002</v>
      </c>
      <c r="F54" s="1">
        <f t="shared" si="1"/>
        <v>73.660600000000002</v>
      </c>
      <c r="I54" s="1">
        <f>HLOOKUP(B54,[2]Result!$B$1:$AO$16,15,FALSE)/1000</f>
        <v>69.012</v>
      </c>
      <c r="P54" s="1">
        <f>HLOOKUP(B54,[2]Result!$B$1:$AO$16,14,FALSE)/1000</f>
        <v>134.9556</v>
      </c>
    </row>
    <row r="55" spans="2:16" x14ac:dyDescent="0.25">
      <c r="B55" s="1" t="s">
        <v>50</v>
      </c>
      <c r="C55" s="1">
        <f>HLOOKUP(B55,[2]Result!$B$1:$AO$16,13,FALSE)/1000</f>
        <v>61.877000000000002</v>
      </c>
      <c r="F55" s="1">
        <f t="shared" si="1"/>
        <v>96.546309999999977</v>
      </c>
      <c r="I55" s="1">
        <f>HLOOKUP(B55,[2]Result!$B$1:$AO$16,15,FALSE)/1000</f>
        <v>68.095500000000001</v>
      </c>
      <c r="P55" s="1">
        <f>HLOOKUP(B55,[2]Result!$B$1:$AO$16,14,FALSE)/1000</f>
        <v>158.42330999999999</v>
      </c>
    </row>
    <row r="56" spans="2:16" x14ac:dyDescent="0.25">
      <c r="B56" s="1" t="s">
        <v>57</v>
      </c>
      <c r="C56" s="1">
        <f>HLOOKUP(B56,[2]Result!$B$1:$AO$16,13,FALSE)/1000</f>
        <v>24.44</v>
      </c>
      <c r="F56" s="1">
        <f t="shared" si="1"/>
        <v>44.08</v>
      </c>
      <c r="I56" s="1">
        <f>HLOOKUP(B56,[2]Result!$B$1:$AO$16,15,FALSE)/1000</f>
        <v>62.09</v>
      </c>
      <c r="P56" s="1">
        <f>HLOOKUP(B56,[2]Result!$B$1:$AO$16,14,FALSE)/1000</f>
        <v>68.52</v>
      </c>
    </row>
    <row r="57" spans="2:16" x14ac:dyDescent="0.25">
      <c r="B57" s="1" t="s">
        <v>58</v>
      </c>
      <c r="C57" s="1">
        <f>HLOOKUP(B57,[2]Result!$B$1:$AO$16,13,FALSE)/1000</f>
        <v>46.465000000000003</v>
      </c>
      <c r="F57" s="1">
        <f t="shared" si="1"/>
        <v>76.188399999999987</v>
      </c>
      <c r="I57" s="1">
        <f>HLOOKUP(B57,[2]Result!$B$1:$AO$16,15,FALSE)/1000</f>
        <v>59.615000000000002</v>
      </c>
      <c r="P57" s="1">
        <f>HLOOKUP(B57,[2]Result!$B$1:$AO$16,14,FALSE)/1000</f>
        <v>122.65339999999999</v>
      </c>
    </row>
    <row r="58" spans="2:16" x14ac:dyDescent="0.25">
      <c r="B58" s="1" t="s">
        <v>68</v>
      </c>
      <c r="C58" s="1">
        <f>HLOOKUP(B58,[2]Result!$B$1:$AO$16,13,FALSE)/1000</f>
        <v>32.194000000000003</v>
      </c>
      <c r="F58" s="1">
        <f t="shared" si="1"/>
        <v>62.633539999999996</v>
      </c>
      <c r="I58" s="1">
        <f>HLOOKUP(B58,[2]Result!$B$1:$AO$16,15,FALSE)/1000</f>
        <v>51.578000000000003</v>
      </c>
      <c r="P58" s="1">
        <f>HLOOKUP(B58,[2]Result!$B$1:$AO$16,14,FALSE)/1000</f>
        <v>94.827539999999999</v>
      </c>
    </row>
    <row r="59" spans="2:16" x14ac:dyDescent="0.25">
      <c r="B59" s="1" t="s">
        <v>16</v>
      </c>
      <c r="C59" s="1" t="e">
        <f>HLOOKUP(B59,#REF!,27,FALSE)/1000+HLOOKUP(B59,#REF!,38,FALSE)/1000+HLOOKUP(B59,#REF!,49,FALSE)/1000+HLOOKUP(B59,#REF!,60,FALSE)/1000</f>
        <v>#REF!</v>
      </c>
      <c r="F59" s="1" t="e">
        <f t="shared" si="1"/>
        <v>#REF!</v>
      </c>
      <c r="I59" s="1" t="e">
        <f>HLOOKUP(B59,#REF!,29,FALSE)/1000+HLOOKUP(B59,#REF!,40,FALSE)/1000+HLOOKUP(B59,#REF!,51,FALSE)/1000+HLOOKUP(B59,#REF!,62,FALSE)/1000</f>
        <v>#REF!</v>
      </c>
      <c r="P59" s="1" t="e">
        <f>HLOOKUP(B59,#REF!,28,FALSE)/1000+HLOOKUP(B59,#REF!,39,FALSE)/1000+HLOOKUP(B59,#REF!,50,FALSE)/1000+HLOOKUP(B59,#REF!,61,FALSE)/1000</f>
        <v>#REF!</v>
      </c>
    </row>
    <row r="60" spans="2:16" x14ac:dyDescent="0.25">
      <c r="B60" s="1" t="s">
        <v>76</v>
      </c>
      <c r="C60" s="1">
        <f>HLOOKUP(B60,[2]Result!$B$1:$AO$16,13,FALSE)/1000</f>
        <v>49.393999999999998</v>
      </c>
      <c r="F60" s="1">
        <f t="shared" si="1"/>
        <v>48.018000000000008</v>
      </c>
      <c r="I60" s="1">
        <f>HLOOKUP(B60,[2]Result!$B$1:$AO$16,15,FALSE)/1000</f>
        <v>41.8</v>
      </c>
      <c r="P60" s="1">
        <f>HLOOKUP(B60,[2]Result!$B$1:$AO$16,14,FALSE)/1000</f>
        <v>97.412000000000006</v>
      </c>
    </row>
    <row r="61" spans="2:16" x14ac:dyDescent="0.25">
      <c r="B61" s="1" t="s">
        <v>37</v>
      </c>
      <c r="C61" s="1" t="e">
        <f>HLOOKUP(B61,#REF!,27,FALSE)/1000+HLOOKUP(B61,#REF!,38,FALSE)/1000+HLOOKUP(B61,#REF!,49,FALSE)/1000+HLOOKUP(B61,#REF!,60,FALSE)/1000</f>
        <v>#REF!</v>
      </c>
      <c r="F61" s="1" t="e">
        <f t="shared" si="1"/>
        <v>#REF!</v>
      </c>
      <c r="I61" s="1" t="e">
        <f>HLOOKUP(B61,#REF!,29,FALSE)/1000+HLOOKUP(B61,#REF!,40,FALSE)/1000+HLOOKUP(B61,#REF!,51,FALSE)/1000+HLOOKUP(B61,#REF!,62,FALSE)/1000</f>
        <v>#REF!</v>
      </c>
      <c r="P61" s="1" t="e">
        <f>HLOOKUP(B61,#REF!,28,FALSE)/1000+HLOOKUP(B61,#REF!,39,FALSE)/1000+HLOOKUP(B61,#REF!,50,FALSE)/1000+HLOOKUP(B61,#REF!,61,FALSE)/1000</f>
        <v>#REF!</v>
      </c>
    </row>
    <row r="62" spans="2:16" x14ac:dyDescent="0.25">
      <c r="B62" s="1" t="s">
        <v>61</v>
      </c>
      <c r="C62" s="1">
        <f>HLOOKUP(B62,[2]Result!$B$1:$AO$16,13,FALSE)/1000</f>
        <v>48.991900000000001</v>
      </c>
      <c r="F62" s="1">
        <f t="shared" si="1"/>
        <v>40.169999999999987</v>
      </c>
      <c r="I62" s="1">
        <f>HLOOKUP(B62,[2]Result!$B$1:$AO$16,15,FALSE)/1000</f>
        <v>30.2</v>
      </c>
      <c r="P62" s="1">
        <f>HLOOKUP(B62,[2]Result!$B$1:$AO$16,14,FALSE)/1000</f>
        <v>89.161899999999989</v>
      </c>
    </row>
    <row r="63" spans="2:16" x14ac:dyDescent="0.25">
      <c r="B63" s="1" t="s">
        <v>64</v>
      </c>
      <c r="C63" s="1">
        <f>HLOOKUP(B63,[2]Result!$B$1:$AO$16,13,FALSE)/1000</f>
        <v>18.326319999999999</v>
      </c>
      <c r="F63" s="1">
        <f t="shared" si="1"/>
        <v>31.013400000000001</v>
      </c>
      <c r="I63" s="1">
        <f>HLOOKUP(B63,[2]Result!$B$1:$AO$16,15,FALSE)/1000</f>
        <v>29.52786</v>
      </c>
      <c r="P63" s="1">
        <f>HLOOKUP(B63,[2]Result!$B$1:$AO$16,14,FALSE)/1000</f>
        <v>49.33972</v>
      </c>
    </row>
    <row r="64" spans="2:16" x14ac:dyDescent="0.25">
      <c r="B64" s="1" t="s">
        <v>55</v>
      </c>
      <c r="C64" s="1">
        <f>HLOOKUP(B64,[2]Result!$B$1:$AO$16,13,FALSE)/1000</f>
        <v>19.2</v>
      </c>
      <c r="F64" s="1">
        <f t="shared" si="1"/>
        <v>26.7</v>
      </c>
      <c r="I64" s="1">
        <f>HLOOKUP(B64,[2]Result!$B$1:$AO$16,15,FALSE)/1000</f>
        <v>23.965</v>
      </c>
      <c r="P64" s="1">
        <f>HLOOKUP(B64,[2]Result!$B$1:$AO$16,14,FALSE)/1000</f>
        <v>45.9</v>
      </c>
    </row>
    <row r="65" spans="2:16" x14ac:dyDescent="0.25">
      <c r="B65" s="1" t="s">
        <v>81</v>
      </c>
      <c r="C65" s="1">
        <f>HLOOKUP(B65,[2]Result!$B$1:$AO$16,13,FALSE)/1000</f>
        <v>23.274999999999999</v>
      </c>
      <c r="F65" s="1">
        <f t="shared" si="1"/>
        <v>24.259999999999998</v>
      </c>
      <c r="I65" s="1">
        <f>HLOOKUP(B65,[2]Result!$B$1:$AO$16,15,FALSE)/1000</f>
        <v>19.84</v>
      </c>
      <c r="P65" s="1">
        <f>HLOOKUP(B65,[2]Result!$B$1:$AO$16,14,FALSE)/1000</f>
        <v>47.534999999999997</v>
      </c>
    </row>
    <row r="66" spans="2:16" x14ac:dyDescent="0.25">
      <c r="B66" s="1" t="s">
        <v>17</v>
      </c>
      <c r="C66" s="1" t="e">
        <f>HLOOKUP(B66,#REF!,27,FALSE)/1000+HLOOKUP(B66,#REF!,38,FALSE)/1000+HLOOKUP(B66,#REF!,49,FALSE)/1000+HLOOKUP(B66,#REF!,60,FALSE)/1000</f>
        <v>#REF!</v>
      </c>
      <c r="F66" s="1" t="e">
        <f t="shared" si="1"/>
        <v>#REF!</v>
      </c>
      <c r="I66" s="1" t="e">
        <f>HLOOKUP(B66,#REF!,29,FALSE)/1000+HLOOKUP(B66,#REF!,40,FALSE)/1000+HLOOKUP(B66,#REF!,51,FALSE)/1000+HLOOKUP(B66,#REF!,62,FALSE)/1000</f>
        <v>#REF!</v>
      </c>
      <c r="P66" s="1" t="e">
        <f>HLOOKUP(B66,#REF!,28,FALSE)/1000+HLOOKUP(B66,#REF!,39,FALSE)/1000+HLOOKUP(B66,#REF!,50,FALSE)/1000+HLOOKUP(B66,#REF!,61,FALSE)/1000</f>
        <v>#REF!</v>
      </c>
    </row>
    <row r="67" spans="2:16" x14ac:dyDescent="0.25">
      <c r="B67" s="1" t="s">
        <v>77</v>
      </c>
      <c r="C67" s="1">
        <f>HLOOKUP(B67,[2]Result!$B$1:$AO$16,13,FALSE)/1000</f>
        <v>14.52</v>
      </c>
      <c r="F67" s="1">
        <f t="shared" ref="F67:F72" si="2">P67-C67</f>
        <v>25.125000000000004</v>
      </c>
      <c r="I67" s="1">
        <f>HLOOKUP(B67,[2]Result!$B$1:$AO$16,15,FALSE)/1000</f>
        <v>19.170000000000002</v>
      </c>
      <c r="P67" s="1">
        <f>HLOOKUP(B67,[2]Result!$B$1:$AO$16,14,FALSE)/1000</f>
        <v>39.645000000000003</v>
      </c>
    </row>
    <row r="68" spans="2:16" x14ac:dyDescent="0.25">
      <c r="B68" s="1" t="s">
        <v>85</v>
      </c>
      <c r="C68" s="1">
        <f>HLOOKUP(B68,[2]Result!$B$1:$AQ$16,13,FALSE)/1000</f>
        <v>68.2</v>
      </c>
      <c r="F68" s="1">
        <f t="shared" si="2"/>
        <v>47.75</v>
      </c>
      <c r="I68" s="1">
        <f>HLOOKUP(B68,[2]Result!$B$1:$AQ$16,15,FALSE)/1000</f>
        <v>18.11</v>
      </c>
      <c r="P68" s="1">
        <f>HLOOKUP(B68,[2]Result!$B$1:$AQ$16,14,FALSE)/1000</f>
        <v>115.95</v>
      </c>
    </row>
    <row r="69" spans="2:16" x14ac:dyDescent="0.25">
      <c r="B69" s="1" t="s">
        <v>22</v>
      </c>
      <c r="C69" s="1" t="e">
        <f>HLOOKUP(B69,#REF!,27,FALSE)/1000+HLOOKUP(B69,#REF!,38,FALSE)/1000+HLOOKUP(B69,#REF!,49,FALSE)/1000+HLOOKUP(B69,#REF!,60,FALSE)/1000</f>
        <v>#REF!</v>
      </c>
      <c r="F69" s="1" t="e">
        <f t="shared" si="2"/>
        <v>#REF!</v>
      </c>
      <c r="I69" s="1" t="e">
        <f>HLOOKUP(B69,#REF!,29,FALSE)/1000+HLOOKUP(B69,#REF!,40,FALSE)/1000+HLOOKUP(B69,#REF!,51,FALSE)/1000+HLOOKUP(B69,#REF!,62,FALSE)/1000</f>
        <v>#REF!</v>
      </c>
      <c r="P69" s="1" t="e">
        <f>HLOOKUP(B69,#REF!,28,FALSE)/1000+HLOOKUP(B69,#REF!,39,FALSE)/1000+HLOOKUP(B69,#REF!,50,FALSE)/1000+HLOOKUP(B69,#REF!,61,FALSE)/1000</f>
        <v>#REF!</v>
      </c>
    </row>
    <row r="70" spans="2:16" x14ac:dyDescent="0.25">
      <c r="B70" s="42" t="s">
        <v>14</v>
      </c>
      <c r="C70" s="1" t="e">
        <f>HLOOKUP(B70,#REF!,27,FALSE)/1000+HLOOKUP(B70,#REF!,38,FALSE)/1000+HLOOKUP(B70,#REF!,49,FALSE)/1000+HLOOKUP(B70,#REF!,60,FALSE)/1000</f>
        <v>#REF!</v>
      </c>
      <c r="F70" s="1" t="e">
        <f t="shared" si="2"/>
        <v>#REF!</v>
      </c>
      <c r="I70" s="1" t="e">
        <f>HLOOKUP(B70,#REF!,29,FALSE)/1000+HLOOKUP(B70,#REF!,40,FALSE)/1000+HLOOKUP(B70,#REF!,51,FALSE)/1000+HLOOKUP(B70,#REF!,62,FALSE)/1000</f>
        <v>#REF!</v>
      </c>
      <c r="P70" s="1" t="e">
        <f>HLOOKUP(B70,#REF!,28,FALSE)/1000+HLOOKUP(B70,#REF!,39,FALSE)/1000+HLOOKUP(B70,#REF!,50,FALSE)/1000+HLOOKUP(B70,#REF!,61,FALSE)/1000</f>
        <v>#REF!</v>
      </c>
    </row>
    <row r="71" spans="2:16" x14ac:dyDescent="0.25">
      <c r="B71" s="42" t="s">
        <v>115</v>
      </c>
      <c r="C71" s="1" t="e">
        <f>HLOOKUP(B71,#REF!,27,FALSE)/1000+HLOOKUP(B71,#REF!,38,FALSE)/1000+HLOOKUP(B71,#REF!,49,FALSE)/1000+HLOOKUP(B71,#REF!,60,FALSE)/1000</f>
        <v>#REF!</v>
      </c>
      <c r="F71" s="1" t="e">
        <f t="shared" si="2"/>
        <v>#REF!</v>
      </c>
      <c r="I71" s="1" t="e">
        <f>HLOOKUP(B71,#REF!,29,FALSE)/1000+HLOOKUP(B71,#REF!,40,FALSE)/1000+HLOOKUP(B71,#REF!,51,FALSE)/1000+HLOOKUP(B71,#REF!,62,FALSE)/1000</f>
        <v>#REF!</v>
      </c>
      <c r="P71" s="1" t="e">
        <f>HLOOKUP(B71,#REF!,28,FALSE)/1000+HLOOKUP(B71,#REF!,39,FALSE)/1000+HLOOKUP(B71,#REF!,50,FALSE)/1000+HLOOKUP(B71,#REF!,61,FALSE)/1000</f>
        <v>#REF!</v>
      </c>
    </row>
    <row r="72" spans="2:16" s="45" customFormat="1" x14ac:dyDescent="0.25">
      <c r="B72" s="42" t="s">
        <v>116</v>
      </c>
      <c r="C72" s="1">
        <f>HLOOKUP(B72,[2]Result!$B$1:$AQ$16,13,FALSE)/1000</f>
        <v>285.94499999999999</v>
      </c>
      <c r="F72" s="1">
        <f t="shared" si="2"/>
        <v>194.48500000000001</v>
      </c>
      <c r="I72" s="1">
        <f>HLOOKUP(B72,[2]Result!$B$1:$AQ$16,15,FALSE)/1000</f>
        <v>265.24</v>
      </c>
      <c r="P72" s="1">
        <f>HLOOKUP(B72,[2]Result!$B$1:$AO$16,14,FALSE)/1000</f>
        <v>480.43</v>
      </c>
    </row>
    <row r="73" spans="2:16" s="45" customFormat="1" x14ac:dyDescent="0.25">
      <c r="B73" s="42" t="s">
        <v>226</v>
      </c>
      <c r="C73" s="1">
        <f>HLOOKUP(B73,[2]Result!$B$1:$AQ$16,13,FALSE)/1000</f>
        <v>127.441</v>
      </c>
      <c r="F73" s="1">
        <f t="shared" ref="F73:F74" si="3">P73-C73</f>
        <v>127.41800000000001</v>
      </c>
      <c r="I73" s="1">
        <f>HLOOKUP(B73,[2]Result!$B$1:$AQ$16,15,FALSE)/1000</f>
        <v>143.416</v>
      </c>
      <c r="P73" s="1">
        <f>HLOOKUP(B73,[2]Result!$B$1:$AO$16,14,FALSE)/1000</f>
        <v>254.85900000000001</v>
      </c>
    </row>
    <row r="74" spans="2:16" s="45" customFormat="1" x14ac:dyDescent="0.25">
      <c r="B74" s="42" t="s">
        <v>228</v>
      </c>
      <c r="C74" s="1" t="e">
        <f>HLOOKUP(B74,#REF!,27,FALSE)/1000+HLOOKUP(B74,#REF!,38,FALSE)/1000+HLOOKUP(B74,#REF!,49,FALSE)/1000+HLOOKUP(B74,#REF!,60,FALSE)/1000</f>
        <v>#REF!</v>
      </c>
      <c r="F74" s="1" t="e">
        <f t="shared" si="3"/>
        <v>#REF!</v>
      </c>
      <c r="I74" s="1" t="e">
        <f>HLOOKUP(B74,#REF!,29,FALSE)/1000+HLOOKUP(B74,#REF!,40,FALSE)/1000+HLOOKUP(B74,#REF!,51,FALSE)/1000+HLOOKUP(B74,#REF!,62,FALSE)/1000</f>
        <v>#REF!</v>
      </c>
      <c r="P74" s="1" t="e">
        <f>HLOOKUP(B74,#REF!,28,FALSE)/1000+HLOOKUP(B74,#REF!,39,FALSE)/1000+HLOOKUP(B74,#REF!,50,FALSE)/1000+HLOOKUP(B74,#REF!,61,FALSE)/1000</f>
        <v>#REF!</v>
      </c>
    </row>
    <row r="75" spans="2:16" x14ac:dyDescent="0.25">
      <c r="C75" s="73" t="e">
        <f>SUM(C3:C73)</f>
        <v>#REF!</v>
      </c>
      <c r="E75" s="73"/>
      <c r="F75" s="73" t="e">
        <f>SUM(F3:F73)</f>
        <v>#REF!</v>
      </c>
      <c r="G75" s="73"/>
      <c r="H75" s="73"/>
      <c r="I75" s="73" t="e">
        <f>SUM(I3:I73)</f>
        <v>#REF!</v>
      </c>
      <c r="J75" s="73"/>
      <c r="K75" s="73"/>
      <c r="L75" s="73"/>
      <c r="M75" s="73"/>
      <c r="N75" s="73"/>
      <c r="O75" s="73"/>
      <c r="P75" s="73" t="e">
        <f>SUM(P3:P73)</f>
        <v>#REF!</v>
      </c>
    </row>
    <row r="76" spans="2:16" x14ac:dyDescent="0.25">
      <c r="F76" s="5" t="e">
        <f>F75/C75-1</f>
        <v>#REF!</v>
      </c>
      <c r="I76" t="e">
        <f>I75/F75-1</f>
        <v>#REF!</v>
      </c>
    </row>
    <row r="79" spans="2:16" x14ac:dyDescent="0.25">
      <c r="I79" t="e">
        <f>I75/C75</f>
        <v>#REF!</v>
      </c>
    </row>
    <row r="81" spans="2:9" x14ac:dyDescent="0.25">
      <c r="B81" t="s">
        <v>136</v>
      </c>
      <c r="F81" s="81">
        <v>178528</v>
      </c>
      <c r="I81" s="81" t="e">
        <f>F81*(1+I76)</f>
        <v>#REF!</v>
      </c>
    </row>
  </sheetData>
  <sortState xmlns:xlrd2="http://schemas.microsoft.com/office/spreadsheetml/2017/richdata2" ref="B3:D76">
    <sortCondition descending="1" ref="D3"/>
  </sortState>
  <pageMargins left="0.7" right="0.7" top="0.75" bottom="0.75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64333-3EEC-43C3-A411-4D3F1532B92B}">
  <sheetPr codeName="Лист15">
    <tabColor theme="9" tint="0.79998168889431442"/>
  </sheetPr>
  <dimension ref="A1:J82"/>
  <sheetViews>
    <sheetView zoomScaleNormal="100" workbookViewId="0"/>
  </sheetViews>
  <sheetFormatPr defaultRowHeight="15" x14ac:dyDescent="0.25"/>
  <cols>
    <col min="1" max="1" width="9.140625" style="31"/>
    <col min="2" max="2" width="40.7109375" style="50" customWidth="1"/>
    <col min="3" max="4" width="15.7109375" style="122" customWidth="1"/>
    <col min="5" max="5" width="10.7109375" style="122" customWidth="1"/>
    <col min="6" max="6" width="11" style="4" bestFit="1" customWidth="1"/>
    <col min="7" max="7" width="11" bestFit="1" customWidth="1"/>
    <col min="9" max="9" width="9.140625" style="45"/>
  </cols>
  <sheetData>
    <row r="1" spans="1:10" s="45" customFormat="1" x14ac:dyDescent="0.25">
      <c r="A1" s="38" t="s">
        <v>327</v>
      </c>
      <c r="B1" s="50"/>
      <c r="C1" s="122"/>
      <c r="D1" s="122"/>
      <c r="E1" s="122"/>
      <c r="F1" s="4"/>
    </row>
    <row r="2" spans="1:10" s="45" customFormat="1" ht="43.5" customHeight="1" x14ac:dyDescent="0.25">
      <c r="A2" s="129" t="s">
        <v>276</v>
      </c>
      <c r="B2" s="130" t="s">
        <v>0</v>
      </c>
      <c r="C2" s="137" t="s">
        <v>328</v>
      </c>
      <c r="D2" s="137" t="s">
        <v>329</v>
      </c>
      <c r="E2" s="138" t="s">
        <v>261</v>
      </c>
      <c r="F2" s="4"/>
    </row>
    <row r="3" spans="1:10" x14ac:dyDescent="0.25">
      <c r="A3" s="32">
        <v>1</v>
      </c>
      <c r="B3" s="131" t="s">
        <v>8</v>
      </c>
      <c r="C3" s="133">
        <v>16906.594000000001</v>
      </c>
      <c r="D3" s="133">
        <v>12355.788999999999</v>
      </c>
      <c r="E3" s="120">
        <f>100*(C3/D3-1)</f>
        <v>36.831358968658343</v>
      </c>
      <c r="F3">
        <f>VLOOKUP(B3,'Табл 1'!$B$3:$F$68,5,0)</f>
        <v>4205271785</v>
      </c>
    </row>
    <row r="4" spans="1:10" s="45" customFormat="1" x14ac:dyDescent="0.25">
      <c r="A4" s="32">
        <v>2</v>
      </c>
      <c r="B4" s="131" t="s">
        <v>19</v>
      </c>
      <c r="C4" s="133">
        <v>14757.873</v>
      </c>
      <c r="D4" s="133">
        <v>9583.0550000000003</v>
      </c>
      <c r="E4" s="120">
        <f>100*(C4/D4-1)</f>
        <v>53.999669207783938</v>
      </c>
      <c r="F4" s="45">
        <f>VLOOKUP(B4,'Табл 1'!$B$3:$F$68,5,0)</f>
        <v>7704784072</v>
      </c>
    </row>
    <row r="5" spans="1:10" x14ac:dyDescent="0.25">
      <c r="A5" s="32">
        <v>3</v>
      </c>
      <c r="B5" s="131" t="s">
        <v>256</v>
      </c>
      <c r="C5" s="133">
        <v>9091.9910000000018</v>
      </c>
      <c r="D5" s="133">
        <v>6654.8769999999995</v>
      </c>
      <c r="E5" s="120">
        <f>100*(C5/D5-1)</f>
        <v>36.621473244359024</v>
      </c>
      <c r="F5" s="45" t="str">
        <f>VLOOKUP(B5,'Табл 1'!$B$3:$F$68,5,0)</f>
        <v>3664223480, 6162070130, 9201526872, 6162073437, 9201527428</v>
      </c>
      <c r="G5" s="45"/>
      <c r="H5" s="45"/>
    </row>
    <row r="6" spans="1:10" s="45" customFormat="1" x14ac:dyDescent="0.25">
      <c r="A6" s="32">
        <v>4</v>
      </c>
      <c r="B6" s="131" t="s">
        <v>257</v>
      </c>
      <c r="C6" s="133">
        <v>8935.8408199999994</v>
      </c>
      <c r="D6" s="133" t="s">
        <v>5</v>
      </c>
      <c r="E6" s="120" t="s">
        <v>245</v>
      </c>
      <c r="F6" s="45">
        <f>VLOOKUP(B6,'Табл 1'!$B$3:$F$68,5,0)</f>
        <v>5407973316</v>
      </c>
    </row>
    <row r="7" spans="1:10" x14ac:dyDescent="0.25">
      <c r="A7" s="32">
        <v>5</v>
      </c>
      <c r="B7" s="131" t="s">
        <v>213</v>
      </c>
      <c r="C7" s="133">
        <v>8723.7549999999992</v>
      </c>
      <c r="D7" s="133">
        <v>11848.014000000001</v>
      </c>
      <c r="E7" s="120">
        <f t="shared" ref="E7:E38" si="0">100*(C7/D7-1)</f>
        <v>-26.369474242687442</v>
      </c>
      <c r="F7" s="45" t="str">
        <f>VLOOKUP(B7,'Табл 1'!$B$3:$F$68,5,0)</f>
        <v>7325081622, 7702820127</v>
      </c>
      <c r="G7" s="45"/>
      <c r="H7" s="45"/>
      <c r="J7" s="45"/>
    </row>
    <row r="8" spans="1:10" x14ac:dyDescent="0.25">
      <c r="A8" s="32">
        <v>6</v>
      </c>
      <c r="B8" s="131" t="s">
        <v>284</v>
      </c>
      <c r="C8" s="133">
        <v>7752.4040000000005</v>
      </c>
      <c r="D8" s="133">
        <v>9582.0499999999993</v>
      </c>
      <c r="E8" s="120">
        <f t="shared" si="0"/>
        <v>-19.094515265522503</v>
      </c>
      <c r="F8" s="45" t="str">
        <f>VLOOKUP(B8,'Табл 1'!$B$3:$F$68,5,0)</f>
        <v>7722355735, 7706780186</v>
      </c>
      <c r="H8" s="45"/>
    </row>
    <row r="9" spans="1:10" x14ac:dyDescent="0.25">
      <c r="A9" s="32">
        <v>7</v>
      </c>
      <c r="B9" s="131" t="s">
        <v>216</v>
      </c>
      <c r="C9" s="133">
        <v>6750.232</v>
      </c>
      <c r="D9" s="133">
        <v>6997.4170000000004</v>
      </c>
      <c r="E9" s="120">
        <f t="shared" si="0"/>
        <v>-3.5325177847768785</v>
      </c>
      <c r="F9" s="45">
        <f>VLOOKUP(B9,'Табл 1'!$B$3:$F$68,5,0)</f>
        <v>7733812126</v>
      </c>
      <c r="G9" s="45"/>
      <c r="H9" s="45"/>
      <c r="J9" s="45"/>
    </row>
    <row r="10" spans="1:10" x14ac:dyDescent="0.25">
      <c r="A10" s="32">
        <v>8</v>
      </c>
      <c r="B10" s="131" t="s">
        <v>325</v>
      </c>
      <c r="C10" s="133">
        <v>6139.8509999999997</v>
      </c>
      <c r="D10" s="133">
        <v>7439.1080000000002</v>
      </c>
      <c r="E10" s="120">
        <f t="shared" si="0"/>
        <v>-17.465225669529204</v>
      </c>
      <c r="F10" s="45" t="str">
        <f>VLOOKUP(B10,'Табл 1'!$B$3:$F$68,5,0)</f>
        <v>7715825027, 9701125685</v>
      </c>
      <c r="G10" s="45"/>
      <c r="H10" s="45"/>
    </row>
    <row r="11" spans="1:10" x14ac:dyDescent="0.25">
      <c r="A11" s="32">
        <v>9</v>
      </c>
      <c r="B11" s="131" t="s">
        <v>33</v>
      </c>
      <c r="C11" s="133">
        <v>5045.0630000000001</v>
      </c>
      <c r="D11" s="133">
        <v>5377.0440000000008</v>
      </c>
      <c r="E11" s="120">
        <f t="shared" si="0"/>
        <v>-6.174042838407134</v>
      </c>
      <c r="F11" s="45">
        <f>VLOOKUP(B11,'Табл 1'!$B$3:$F$68,5,0)</f>
        <v>5410059568</v>
      </c>
      <c r="H11" s="45"/>
    </row>
    <row r="12" spans="1:10" x14ac:dyDescent="0.25">
      <c r="A12" s="32">
        <v>10</v>
      </c>
      <c r="B12" s="131" t="s">
        <v>287</v>
      </c>
      <c r="C12" s="133">
        <v>4690.9256460000006</v>
      </c>
      <c r="D12" s="133">
        <v>3891.0380909999994</v>
      </c>
      <c r="E12" s="120">
        <f t="shared" si="0"/>
        <v>20.557176164637081</v>
      </c>
      <c r="F12" s="45" t="str">
        <f>VLOOKUP(B12,'Табл 1'!$B$3:$F$68,5,0)</f>
        <v>7838500558, 7838031377</v>
      </c>
      <c r="G12" s="45"/>
      <c r="H12" s="45"/>
    </row>
    <row r="13" spans="1:10" x14ac:dyDescent="0.25">
      <c r="A13" s="32">
        <v>11</v>
      </c>
      <c r="B13" s="131" t="s">
        <v>251</v>
      </c>
      <c r="C13" s="133">
        <v>3926.5049999999997</v>
      </c>
      <c r="D13" s="133">
        <v>4222.9000000000005</v>
      </c>
      <c r="E13" s="120">
        <f t="shared" si="0"/>
        <v>-7.0187548840844212</v>
      </c>
      <c r="F13" s="45" t="str">
        <f>VLOOKUP(B13,'Табл 1'!$B$3:$F$68,5,0)</f>
        <v>0278200683</v>
      </c>
      <c r="G13" s="45"/>
      <c r="H13" s="45"/>
    </row>
    <row r="14" spans="1:10" s="4" customFormat="1" x14ac:dyDescent="0.25">
      <c r="A14" s="32">
        <v>12</v>
      </c>
      <c r="B14" s="131" t="s">
        <v>211</v>
      </c>
      <c r="C14" s="133">
        <v>3482.3810000000003</v>
      </c>
      <c r="D14" s="133">
        <v>2082.7919999999999</v>
      </c>
      <c r="E14" s="120">
        <f t="shared" si="0"/>
        <v>67.197732658854093</v>
      </c>
      <c r="F14" s="45">
        <f>VLOOKUP(B14,'Табл 1'!$B$3:$F$68,5,0)</f>
        <v>7716748537</v>
      </c>
      <c r="G14" s="45"/>
      <c r="H14" s="45"/>
      <c r="I14" s="45"/>
      <c r="J14" s="45"/>
    </row>
    <row r="15" spans="1:10" x14ac:dyDescent="0.25">
      <c r="A15" s="32">
        <v>13</v>
      </c>
      <c r="B15" s="131" t="s">
        <v>10</v>
      </c>
      <c r="C15" s="133">
        <v>3248.7129999999997</v>
      </c>
      <c r="D15" s="133">
        <v>3078.0839999999998</v>
      </c>
      <c r="E15" s="120">
        <f t="shared" si="0"/>
        <v>5.5433509936700931</v>
      </c>
      <c r="F15" s="45">
        <f>VLOOKUP(B15,'Табл 1'!$B$3:$F$68,5,0)</f>
        <v>5260271530</v>
      </c>
      <c r="G15" s="45"/>
      <c r="H15" s="45"/>
    </row>
    <row r="16" spans="1:10" s="45" customFormat="1" x14ac:dyDescent="0.25">
      <c r="A16" s="32">
        <v>14</v>
      </c>
      <c r="B16" s="131" t="s">
        <v>235</v>
      </c>
      <c r="C16" s="133">
        <v>3017.1319999999996</v>
      </c>
      <c r="D16" s="133">
        <v>3560.7979999999998</v>
      </c>
      <c r="E16" s="120">
        <f t="shared" si="0"/>
        <v>-15.268094399064481</v>
      </c>
      <c r="F16" s="45" t="str">
        <f>VLOOKUP(B16,'Табл 1'!$B$3:$F$68,5,0)</f>
        <v> 7724889891</v>
      </c>
    </row>
    <row r="17" spans="1:10" x14ac:dyDescent="0.25">
      <c r="A17" s="32">
        <v>15</v>
      </c>
      <c r="B17" s="131" t="s">
        <v>237</v>
      </c>
      <c r="C17" s="133">
        <v>2800.61431477</v>
      </c>
      <c r="D17" s="133">
        <v>3759.8671869999998</v>
      </c>
      <c r="E17" s="120">
        <f t="shared" si="0"/>
        <v>-25.512945657939269</v>
      </c>
      <c r="F17" s="45">
        <f>VLOOKUP(B17,'Табл 1'!$B$3:$F$68,5,0)</f>
        <v>7730634468</v>
      </c>
      <c r="G17" s="45"/>
      <c r="H17" s="45"/>
    </row>
    <row r="18" spans="1:10" s="45" customFormat="1" x14ac:dyDescent="0.25">
      <c r="A18" s="32">
        <v>16</v>
      </c>
      <c r="B18" s="131" t="s">
        <v>173</v>
      </c>
      <c r="C18" s="133">
        <v>1944.778</v>
      </c>
      <c r="D18" s="133">
        <v>1292.3489999999999</v>
      </c>
      <c r="E18" s="120">
        <f t="shared" si="0"/>
        <v>50.483963697112785</v>
      </c>
      <c r="F18" s="45">
        <f>VLOOKUP(B18,'Табл 1'!$B$3:$F$68,5,0)</f>
        <v>2310981029</v>
      </c>
    </row>
    <row r="19" spans="1:10" x14ac:dyDescent="0.25">
      <c r="A19" s="32">
        <v>17</v>
      </c>
      <c r="B19" s="124" t="s">
        <v>296</v>
      </c>
      <c r="C19" s="133">
        <v>1895.829</v>
      </c>
      <c r="D19" s="133">
        <v>2822.6708699999999</v>
      </c>
      <c r="E19" s="120">
        <f t="shared" si="0"/>
        <v>-32.835633791055486</v>
      </c>
      <c r="F19" s="45" t="str">
        <f>VLOOKUP(B19,'Табл 1'!$B$3:$F$68,5,0)</f>
        <v>7728771940, 7725850061</v>
      </c>
      <c r="G19" s="45"/>
      <c r="H19" s="45"/>
    </row>
    <row r="20" spans="1:10" x14ac:dyDescent="0.25">
      <c r="A20" s="32">
        <v>18</v>
      </c>
      <c r="B20" s="131" t="s">
        <v>262</v>
      </c>
      <c r="C20" s="133">
        <v>1890.4480000000003</v>
      </c>
      <c r="D20" s="133">
        <v>1955.194</v>
      </c>
      <c r="E20" s="120">
        <f t="shared" si="0"/>
        <v>-3.3114872488356428</v>
      </c>
      <c r="F20" s="45">
        <f>VLOOKUP(B20,'Табл 1'!$B$3:$F$68,5,0)</f>
        <v>4205219217</v>
      </c>
      <c r="G20" s="45"/>
      <c r="H20" s="45"/>
    </row>
    <row r="21" spans="1:10" x14ac:dyDescent="0.25">
      <c r="A21" s="32">
        <v>19</v>
      </c>
      <c r="B21" s="131" t="s">
        <v>250</v>
      </c>
      <c r="C21" s="133">
        <v>1352.0542</v>
      </c>
      <c r="D21" s="133">
        <v>784.03519999999992</v>
      </c>
      <c r="E21" s="120">
        <f t="shared" si="0"/>
        <v>72.448150287129991</v>
      </c>
      <c r="F21" s="45">
        <f>VLOOKUP(B21,'Табл 1'!$B$3:$F$68,5,0)</f>
        <v>9102023109</v>
      </c>
      <c r="G21" s="45"/>
      <c r="H21" s="45"/>
      <c r="J21" s="45"/>
    </row>
    <row r="22" spans="1:10" x14ac:dyDescent="0.25">
      <c r="A22" s="32">
        <v>20</v>
      </c>
      <c r="B22" s="131" t="s">
        <v>221</v>
      </c>
      <c r="C22" s="133">
        <v>1331.3690000000001</v>
      </c>
      <c r="D22" s="133">
        <v>824.78</v>
      </c>
      <c r="E22" s="120">
        <f t="shared" si="0"/>
        <v>61.421106234389789</v>
      </c>
      <c r="F22" s="45">
        <f>VLOOKUP(B22,'Табл 1'!$B$3:$F$68,5,0)</f>
        <v>5260355389</v>
      </c>
      <c r="G22" s="45"/>
      <c r="J22" s="81"/>
    </row>
    <row r="23" spans="1:10" x14ac:dyDescent="0.25">
      <c r="A23" s="32">
        <v>21</v>
      </c>
      <c r="B23" s="131" t="s">
        <v>243</v>
      </c>
      <c r="C23" s="133">
        <v>1279.991</v>
      </c>
      <c r="D23" s="133">
        <v>1160.4090000000001</v>
      </c>
      <c r="E23" s="120">
        <f t="shared" si="0"/>
        <v>10.305159646297124</v>
      </c>
      <c r="F23" s="45">
        <f>VLOOKUP(B23,'Табл 1'!$B$3:$F$68,5,0)</f>
        <v>6671118019</v>
      </c>
      <c r="G23" s="45"/>
      <c r="H23" s="45"/>
      <c r="J23" s="81"/>
    </row>
    <row r="24" spans="1:10" x14ac:dyDescent="0.25">
      <c r="A24" s="32">
        <v>22</v>
      </c>
      <c r="B24" s="131" t="s">
        <v>172</v>
      </c>
      <c r="C24" s="133">
        <v>1234.19951492</v>
      </c>
      <c r="D24" s="133">
        <v>1088.0588351000001</v>
      </c>
      <c r="E24" s="120">
        <f t="shared" si="0"/>
        <v>13.431321460348089</v>
      </c>
      <c r="F24" s="45">
        <f>VLOOKUP(B24,'Табл 1'!$B$3:$F$68,5,0)</f>
        <v>1831045838</v>
      </c>
      <c r="H24" s="45"/>
      <c r="J24" s="81"/>
    </row>
    <row r="25" spans="1:10" x14ac:dyDescent="0.25">
      <c r="A25" s="32">
        <v>23</v>
      </c>
      <c r="B25" s="131" t="s">
        <v>286</v>
      </c>
      <c r="C25" s="133">
        <v>1194.0810000000001</v>
      </c>
      <c r="D25" s="133">
        <v>111.145</v>
      </c>
      <c r="E25" s="120">
        <f t="shared" si="0"/>
        <v>974.34522470646471</v>
      </c>
      <c r="F25" s="45">
        <f>VLOOKUP(B25,'Табл 1'!$B$3:$F$68,5,0)</f>
        <v>7704493556</v>
      </c>
      <c r="G25" s="45"/>
      <c r="I25" s="81"/>
      <c r="J25" s="45"/>
    </row>
    <row r="26" spans="1:10" x14ac:dyDescent="0.25">
      <c r="A26" s="32">
        <v>24</v>
      </c>
      <c r="B26" s="131" t="s">
        <v>24</v>
      </c>
      <c r="C26" s="133">
        <v>1161.3699999999999</v>
      </c>
      <c r="D26" s="133">
        <v>954.23199999999997</v>
      </c>
      <c r="E26" s="120">
        <f t="shared" si="0"/>
        <v>21.707299692317996</v>
      </c>
      <c r="F26" s="45">
        <f>VLOOKUP(B26,'Табл 1'!$B$3:$F$68,5,0)</f>
        <v>5407487242</v>
      </c>
      <c r="G26" s="45"/>
      <c r="J26" s="81"/>
    </row>
    <row r="27" spans="1:10" x14ac:dyDescent="0.25">
      <c r="A27" s="32">
        <v>25</v>
      </c>
      <c r="B27" s="132" t="s">
        <v>171</v>
      </c>
      <c r="C27" s="133">
        <v>1097.296</v>
      </c>
      <c r="D27" s="133">
        <v>1001.4109999999999</v>
      </c>
      <c r="E27" s="120">
        <f t="shared" si="0"/>
        <v>9.5749896895480635</v>
      </c>
      <c r="F27" s="45">
        <f>VLOOKUP(B27,'Табл 1'!$B$3:$F$68,5,0)</f>
        <v>6164072742</v>
      </c>
      <c r="G27" s="45"/>
      <c r="J27" s="81"/>
    </row>
    <row r="28" spans="1:10" x14ac:dyDescent="0.25">
      <c r="A28" s="32">
        <v>26</v>
      </c>
      <c r="B28" s="131" t="s">
        <v>177</v>
      </c>
      <c r="C28" s="133">
        <v>1006.643</v>
      </c>
      <c r="D28" s="133">
        <v>656.26700000000005</v>
      </c>
      <c r="E28" s="120">
        <f t="shared" si="0"/>
        <v>53.389245535734673</v>
      </c>
      <c r="F28" s="45">
        <f>VLOOKUP(B28,'Табл 1'!$B$3:$F$68,5,0)</f>
        <v>2130058291</v>
      </c>
      <c r="G28" s="45"/>
      <c r="J28" s="45"/>
    </row>
    <row r="29" spans="1:10" x14ac:dyDescent="0.25">
      <c r="A29" s="32">
        <v>27</v>
      </c>
      <c r="B29" s="132" t="s">
        <v>188</v>
      </c>
      <c r="C29" s="133">
        <v>908.83699999999999</v>
      </c>
      <c r="D29" s="133">
        <v>509.54199999999997</v>
      </c>
      <c r="E29" s="120">
        <f t="shared" si="0"/>
        <v>78.363510760643877</v>
      </c>
      <c r="F29" s="45">
        <f>VLOOKUP(B29,'Табл 1'!$B$3:$F$68,5,0)</f>
        <v>5321059541</v>
      </c>
      <c r="G29" s="45"/>
      <c r="J29" s="81"/>
    </row>
    <row r="30" spans="1:10" x14ac:dyDescent="0.25">
      <c r="A30" s="32">
        <v>28</v>
      </c>
      <c r="B30" s="131" t="s">
        <v>285</v>
      </c>
      <c r="C30" s="133">
        <v>904.42</v>
      </c>
      <c r="D30" s="133">
        <v>1741.0929999999998</v>
      </c>
      <c r="E30" s="120">
        <f t="shared" si="0"/>
        <v>-48.054469232832474</v>
      </c>
      <c r="F30" s="45">
        <f>VLOOKUP(B30,'Табл 1'!$B$3:$F$68,5,0)</f>
        <v>5501246928</v>
      </c>
      <c r="G30" s="45"/>
      <c r="J30" s="81"/>
    </row>
    <row r="31" spans="1:10" x14ac:dyDescent="0.25">
      <c r="A31" s="32">
        <v>29</v>
      </c>
      <c r="B31" s="131" t="s">
        <v>175</v>
      </c>
      <c r="C31" s="133">
        <v>894.78899999999999</v>
      </c>
      <c r="D31" s="133">
        <v>742.77200000000005</v>
      </c>
      <c r="E31" s="120">
        <f t="shared" si="0"/>
        <v>20.466172661328088</v>
      </c>
      <c r="F31" s="45">
        <f>VLOOKUP(B31,'Табл 1'!$B$3:$F$68,5,0)</f>
        <v>2634091033</v>
      </c>
      <c r="G31" s="45"/>
      <c r="J31" s="45"/>
    </row>
    <row r="32" spans="1:10" x14ac:dyDescent="0.25">
      <c r="A32" s="32">
        <v>30</v>
      </c>
      <c r="B32" s="132" t="s">
        <v>178</v>
      </c>
      <c r="C32" s="133">
        <v>885.82399999999996</v>
      </c>
      <c r="D32" s="133">
        <v>642.41700000000003</v>
      </c>
      <c r="E32" s="120">
        <f t="shared" si="0"/>
        <v>37.889252619404523</v>
      </c>
      <c r="F32" s="45">
        <f>VLOOKUP(B32,'Табл 1'!$B$3:$F$68,5,0)</f>
        <v>5406570716</v>
      </c>
      <c r="G32" s="45"/>
      <c r="H32" s="45"/>
      <c r="J32" s="81"/>
    </row>
    <row r="33" spans="1:10" x14ac:dyDescent="0.25">
      <c r="A33" s="32">
        <v>31</v>
      </c>
      <c r="B33" s="131" t="s">
        <v>268</v>
      </c>
      <c r="C33" s="133">
        <v>803.61400000000003</v>
      </c>
      <c r="D33" s="133">
        <v>575.63565000000006</v>
      </c>
      <c r="E33" s="120">
        <f t="shared" si="0"/>
        <v>39.604626641869721</v>
      </c>
      <c r="F33" s="45">
        <f>VLOOKUP(B33,'Табл 1'!$B$3:$F$68,5,0)</f>
        <v>2221171632</v>
      </c>
      <c r="G33" s="45"/>
      <c r="J33" s="81"/>
    </row>
    <row r="34" spans="1:10" x14ac:dyDescent="0.25">
      <c r="A34" s="32">
        <v>32</v>
      </c>
      <c r="B34" s="131" t="s">
        <v>238</v>
      </c>
      <c r="C34" s="133">
        <v>754.92499999999995</v>
      </c>
      <c r="D34" s="133">
        <v>800.86</v>
      </c>
      <c r="E34" s="120">
        <f t="shared" si="0"/>
        <v>-5.7357091127038462</v>
      </c>
      <c r="F34" s="45">
        <f>VLOOKUP(B34,'Табл 1'!$B$3:$F$68,5,0)</f>
        <v>8601042850</v>
      </c>
      <c r="G34" s="45"/>
      <c r="H34" s="45"/>
      <c r="J34" s="45"/>
    </row>
    <row r="35" spans="1:10" x14ac:dyDescent="0.25">
      <c r="A35" s="32">
        <v>33</v>
      </c>
      <c r="B35" s="132" t="s">
        <v>282</v>
      </c>
      <c r="C35" s="133">
        <v>735.70100000000002</v>
      </c>
      <c r="D35" s="133">
        <v>313.66300000000001</v>
      </c>
      <c r="E35" s="120">
        <f t="shared" si="0"/>
        <v>134.55141345966851</v>
      </c>
      <c r="F35" s="45">
        <f>VLOOKUP(B35,'Табл 1'!$B$3:$F$68,5,0)</f>
        <v>1659182700</v>
      </c>
      <c r="G35" s="45"/>
      <c r="J35" s="81"/>
    </row>
    <row r="36" spans="1:10" x14ac:dyDescent="0.25">
      <c r="A36" s="32">
        <v>34</v>
      </c>
      <c r="B36" s="132" t="s">
        <v>220</v>
      </c>
      <c r="C36" s="133">
        <v>696.17100000000005</v>
      </c>
      <c r="D36" s="133">
        <v>1232.605</v>
      </c>
      <c r="E36" s="120">
        <f t="shared" si="0"/>
        <v>-43.52034917917743</v>
      </c>
      <c r="F36" s="45">
        <f>VLOOKUP(B36,'Табл 1'!$B$3:$F$68,5,0)</f>
        <v>7705974076</v>
      </c>
      <c r="G36" s="45"/>
      <c r="H36" s="45"/>
      <c r="J36" s="81"/>
    </row>
    <row r="37" spans="1:10" s="45" customFormat="1" x14ac:dyDescent="0.25">
      <c r="A37" s="32">
        <v>35</v>
      </c>
      <c r="B37" s="131" t="s">
        <v>239</v>
      </c>
      <c r="C37" s="133">
        <v>683.52499999999998</v>
      </c>
      <c r="D37" s="133">
        <v>525.88</v>
      </c>
      <c r="E37" s="120">
        <f t="shared" si="0"/>
        <v>29.977371263406095</v>
      </c>
      <c r="F37" s="45">
        <f>VLOOKUP(B37,'Табл 1'!$B$3:$F$68,5,0)</f>
        <v>4824047100</v>
      </c>
      <c r="H37"/>
      <c r="J37" s="81"/>
    </row>
    <row r="38" spans="1:10" x14ac:dyDescent="0.25">
      <c r="A38" s="32">
        <v>36</v>
      </c>
      <c r="B38" s="131" t="s">
        <v>236</v>
      </c>
      <c r="C38" s="133">
        <v>671.91800000000001</v>
      </c>
      <c r="D38" s="133">
        <v>273.005</v>
      </c>
      <c r="E38" s="120">
        <f t="shared" si="0"/>
        <v>146.11930184428857</v>
      </c>
      <c r="F38" s="45">
        <f>VLOOKUP(B38,'Табл 1'!$B$3:$F$68,5,0)</f>
        <v>5902198365</v>
      </c>
      <c r="J38" s="81"/>
    </row>
    <row r="39" spans="1:10" x14ac:dyDescent="0.25">
      <c r="A39" s="32">
        <v>37</v>
      </c>
      <c r="B39" s="131" t="s">
        <v>181</v>
      </c>
      <c r="C39" s="133">
        <v>624.36500000000001</v>
      </c>
      <c r="D39" s="133">
        <v>517.74800000000005</v>
      </c>
      <c r="E39" s="120">
        <f t="shared" ref="E39:E67" si="1">100*(C39/D39-1)</f>
        <v>20.592450381266559</v>
      </c>
      <c r="F39" s="45">
        <f>VLOOKUP(B39,'Табл 1'!$B$3:$F$68,5,0)</f>
        <v>5753990187</v>
      </c>
      <c r="H39" s="45"/>
      <c r="J39" s="45"/>
    </row>
    <row r="40" spans="1:10" x14ac:dyDescent="0.25">
      <c r="A40" s="32">
        <v>38</v>
      </c>
      <c r="B40" s="131" t="s">
        <v>193</v>
      </c>
      <c r="C40" s="133">
        <v>619.30799999999999</v>
      </c>
      <c r="D40" s="133">
        <v>396.19600000000003</v>
      </c>
      <c r="E40" s="120">
        <f t="shared" si="1"/>
        <v>56.313541782350129</v>
      </c>
      <c r="F40" s="45">
        <f>VLOOKUP(B40,'Табл 1'!$B$3:$F$68,5,0)</f>
        <v>7106015641</v>
      </c>
      <c r="G40" s="45"/>
      <c r="H40" s="45"/>
      <c r="J40" s="81"/>
    </row>
    <row r="41" spans="1:10" x14ac:dyDescent="0.25">
      <c r="A41" s="32">
        <v>39</v>
      </c>
      <c r="B41" s="131" t="s">
        <v>179</v>
      </c>
      <c r="C41" s="133">
        <v>616.62199999999996</v>
      </c>
      <c r="D41" s="133">
        <v>398.29899999999998</v>
      </c>
      <c r="E41" s="120">
        <f t="shared" si="1"/>
        <v>54.813845879603008</v>
      </c>
      <c r="F41" s="45">
        <f>VLOOKUP(B41,'Табл 1'!$B$3:$F$68,5,0)</f>
        <v>3525251257</v>
      </c>
      <c r="H41" s="45"/>
      <c r="J41" s="81"/>
    </row>
    <row r="42" spans="1:10" x14ac:dyDescent="0.25">
      <c r="A42" s="32">
        <v>40</v>
      </c>
      <c r="B42" s="131" t="s">
        <v>182</v>
      </c>
      <c r="C42" s="133">
        <v>612.49199999999996</v>
      </c>
      <c r="D42" s="133">
        <v>429.74799999999999</v>
      </c>
      <c r="E42" s="120">
        <f t="shared" si="1"/>
        <v>42.523525414894301</v>
      </c>
      <c r="F42" s="45">
        <f>VLOOKUP(B42,'Табл 1'!$B$3:$F$68,5,0)</f>
        <v>2721052016</v>
      </c>
      <c r="G42" s="45"/>
      <c r="H42" s="45"/>
      <c r="J42" s="45"/>
    </row>
    <row r="43" spans="1:10" x14ac:dyDescent="0.25">
      <c r="A43" s="32">
        <v>41</v>
      </c>
      <c r="B43" s="131" t="s">
        <v>247</v>
      </c>
      <c r="C43" s="133">
        <v>589.98900000000003</v>
      </c>
      <c r="D43" s="133">
        <v>335.72</v>
      </c>
      <c r="E43" s="120">
        <f t="shared" si="1"/>
        <v>75.738412963183606</v>
      </c>
      <c r="F43" s="45">
        <f>VLOOKUP(B43,'Табл 1'!$B$3:$F$68,5,0)</f>
        <v>6952000911</v>
      </c>
      <c r="G43" s="45"/>
      <c r="H43" s="45"/>
      <c r="J43" s="81"/>
    </row>
    <row r="44" spans="1:10" x14ac:dyDescent="0.25">
      <c r="A44" s="32">
        <v>42</v>
      </c>
      <c r="B44" s="131" t="s">
        <v>270</v>
      </c>
      <c r="C44" s="133">
        <v>588.16600000000005</v>
      </c>
      <c r="D44" s="133">
        <v>411.47399999999999</v>
      </c>
      <c r="E44" s="120">
        <f t="shared" si="1"/>
        <v>42.941230794655326</v>
      </c>
      <c r="F44" s="45" t="str">
        <f>VLOOKUP(B44,'Табл 1'!$B$3:$F$68,5,0)</f>
        <v>1326960625, 1326211337</v>
      </c>
      <c r="G44" s="45"/>
      <c r="H44" s="45"/>
      <c r="J44" s="81"/>
    </row>
    <row r="45" spans="1:10" x14ac:dyDescent="0.25">
      <c r="A45" s="32">
        <v>43</v>
      </c>
      <c r="B45" s="131" t="s">
        <v>255</v>
      </c>
      <c r="C45" s="133">
        <v>577.89599999999996</v>
      </c>
      <c r="D45" s="133">
        <v>276.57400000000001</v>
      </c>
      <c r="E45" s="120">
        <f t="shared" si="1"/>
        <v>108.94805730112012</v>
      </c>
      <c r="F45" s="45">
        <f>VLOOKUP(B45,'Табл 1'!$B$3:$F$68,5,0)</f>
        <v>5835073174</v>
      </c>
      <c r="G45" s="45"/>
      <c r="H45" s="45"/>
      <c r="J45" s="45"/>
    </row>
    <row r="46" spans="1:10" x14ac:dyDescent="0.25">
      <c r="A46" s="32">
        <v>44</v>
      </c>
      <c r="B46" s="131" t="s">
        <v>227</v>
      </c>
      <c r="C46" s="133">
        <v>547.875</v>
      </c>
      <c r="D46" s="133">
        <v>389.93099999999998</v>
      </c>
      <c r="E46" s="120">
        <f t="shared" si="1"/>
        <v>40.505627918785649</v>
      </c>
      <c r="F46" s="45">
        <f>VLOOKUP(B46,'Табл 1'!$B$3:$F$68,5,0)</f>
        <v>4101091354</v>
      </c>
      <c r="G46" s="45"/>
      <c r="H46" s="45"/>
      <c r="J46" s="81"/>
    </row>
    <row r="47" spans="1:10" x14ac:dyDescent="0.25">
      <c r="A47" s="32">
        <v>45</v>
      </c>
      <c r="B47" s="131" t="s">
        <v>11</v>
      </c>
      <c r="C47" s="133">
        <v>540.22699999999998</v>
      </c>
      <c r="D47" s="133">
        <v>933.59099999999989</v>
      </c>
      <c r="E47" s="120">
        <f t="shared" si="1"/>
        <v>-42.134510722575513</v>
      </c>
      <c r="F47" s="45">
        <f>VLOOKUP(B47,'Табл 1'!$B$3:$F$68,5,0)</f>
        <v>5407264020</v>
      </c>
      <c r="G47" s="45"/>
      <c r="H47" s="45"/>
      <c r="J47" s="81"/>
    </row>
    <row r="48" spans="1:10" s="45" customFormat="1" x14ac:dyDescent="0.25">
      <c r="A48" s="32">
        <v>46</v>
      </c>
      <c r="B48" s="131" t="s">
        <v>249</v>
      </c>
      <c r="C48" s="133">
        <v>535.54359999999997</v>
      </c>
      <c r="D48" s="133">
        <v>205.8536</v>
      </c>
      <c r="E48" s="120">
        <f t="shared" si="1"/>
        <v>160.1575099973962</v>
      </c>
      <c r="F48" s="45">
        <f>VLOOKUP(B48,'Табл 1'!$B$3:$F$68,5,0)</f>
        <v>5260248556</v>
      </c>
      <c r="J48" s="81"/>
    </row>
    <row r="49" spans="1:10" x14ac:dyDescent="0.25">
      <c r="A49" s="32">
        <v>47</v>
      </c>
      <c r="B49" s="131" t="s">
        <v>271</v>
      </c>
      <c r="C49" s="133">
        <v>521.14300000000003</v>
      </c>
      <c r="D49" s="133">
        <v>524.45699999999999</v>
      </c>
      <c r="E49" s="120">
        <f t="shared" si="1"/>
        <v>-0.63189165174646345</v>
      </c>
      <c r="F49" s="45">
        <f>VLOOKUP(B49,'Табл 1'!$B$3:$F$68,5,0)</f>
        <v>275066729</v>
      </c>
      <c r="G49" s="45"/>
      <c r="H49" s="45"/>
      <c r="J49" s="81"/>
    </row>
    <row r="50" spans="1:10" ht="17.25" customHeight="1" x14ac:dyDescent="0.25">
      <c r="A50" s="32">
        <v>48</v>
      </c>
      <c r="B50" s="131" t="s">
        <v>187</v>
      </c>
      <c r="C50" s="133">
        <v>476.899</v>
      </c>
      <c r="D50" s="133">
        <v>321.77</v>
      </c>
      <c r="E50" s="120">
        <f t="shared" si="1"/>
        <v>48.211144606395884</v>
      </c>
      <c r="F50" s="45">
        <f>VLOOKUP(B50,'Табл 1'!$B$3:$F$68,5,0)</f>
        <v>3666144160</v>
      </c>
      <c r="H50" s="45"/>
      <c r="J50" s="81"/>
    </row>
    <row r="51" spans="1:10" x14ac:dyDescent="0.25">
      <c r="A51" s="32">
        <v>49</v>
      </c>
      <c r="B51" s="131" t="s">
        <v>244</v>
      </c>
      <c r="C51" s="133">
        <v>475.86500000000001</v>
      </c>
      <c r="D51" s="133">
        <v>349.95600000000002</v>
      </c>
      <c r="E51" s="120">
        <f t="shared" si="1"/>
        <v>35.978523014321809</v>
      </c>
      <c r="F51" s="45">
        <f>VLOOKUP(B51,'Табл 1'!$B$3:$F$68,5,0)</f>
        <v>5038072003</v>
      </c>
      <c r="G51" s="45"/>
      <c r="H51" s="45"/>
      <c r="J51" s="45"/>
    </row>
    <row r="52" spans="1:10" x14ac:dyDescent="0.25">
      <c r="A52" s="32">
        <v>50</v>
      </c>
      <c r="B52" s="30" t="s">
        <v>192</v>
      </c>
      <c r="C52" s="133">
        <v>446.19600000000003</v>
      </c>
      <c r="D52" s="133">
        <v>463.42</v>
      </c>
      <c r="E52" s="120">
        <f t="shared" si="1"/>
        <v>-3.7167148590911081</v>
      </c>
      <c r="F52" s="45">
        <f>VLOOKUP(B52,'Табл 1'!$B$3:$F$68,5,0)</f>
        <v>3328999318</v>
      </c>
      <c r="G52" s="45"/>
      <c r="H52" s="45"/>
      <c r="J52" s="81"/>
    </row>
    <row r="53" spans="1:10" x14ac:dyDescent="0.25">
      <c r="A53" s="32">
        <v>51</v>
      </c>
      <c r="B53" s="131" t="s">
        <v>272</v>
      </c>
      <c r="C53" s="133">
        <v>411.113</v>
      </c>
      <c r="D53" s="133">
        <v>329.47500000000002</v>
      </c>
      <c r="E53" s="120">
        <f t="shared" si="1"/>
        <v>24.778207754761361</v>
      </c>
      <c r="F53" s="45">
        <f>VLOOKUP(B53,'Табл 1'!$B$3:$F$68,5,0)</f>
        <v>7204137581</v>
      </c>
      <c r="G53" s="45"/>
      <c r="H53" s="45"/>
      <c r="J53" s="81"/>
    </row>
    <row r="54" spans="1:10" x14ac:dyDescent="0.25">
      <c r="A54" s="32">
        <v>52</v>
      </c>
      <c r="B54" s="131" t="s">
        <v>242</v>
      </c>
      <c r="C54" s="133">
        <v>404.98941100000002</v>
      </c>
      <c r="D54" s="133">
        <v>403.11200000000002</v>
      </c>
      <c r="E54" s="120">
        <f t="shared" si="1"/>
        <v>0.46572937545892312</v>
      </c>
      <c r="F54" s="45">
        <f>VLOOKUP(B54,'Табл 1'!$B$3:$F$68,5,0)</f>
        <v>2901204067</v>
      </c>
      <c r="G54" s="45"/>
      <c r="H54" s="45"/>
      <c r="J54" s="81"/>
    </row>
    <row r="55" spans="1:10" x14ac:dyDescent="0.25">
      <c r="A55" s="32">
        <v>53</v>
      </c>
      <c r="B55" s="131" t="s">
        <v>224</v>
      </c>
      <c r="C55" s="133">
        <v>394.47700000000003</v>
      </c>
      <c r="D55" s="133">
        <v>467.52600000000001</v>
      </c>
      <c r="E55" s="120">
        <f t="shared" si="1"/>
        <v>-15.624585584545025</v>
      </c>
      <c r="F55" s="45">
        <f>VLOOKUP(B55,'Табл 1'!$B$3:$F$68,5,0)</f>
        <v>7838492459</v>
      </c>
      <c r="G55" s="45"/>
      <c r="H55" s="45"/>
      <c r="J55" s="45"/>
    </row>
    <row r="56" spans="1:10" x14ac:dyDescent="0.25">
      <c r="A56" s="32">
        <v>54</v>
      </c>
      <c r="B56" s="131" t="s">
        <v>240</v>
      </c>
      <c r="C56" s="133">
        <v>358.846</v>
      </c>
      <c r="D56" s="133">
        <v>148.501</v>
      </c>
      <c r="E56" s="120">
        <f t="shared" si="1"/>
        <v>141.64551080464105</v>
      </c>
      <c r="F56" s="45">
        <f>VLOOKUP(B56,'Табл 1'!$B$3:$F$68,5,0)</f>
        <v>4632066518</v>
      </c>
      <c r="H56" s="45"/>
      <c r="J56" s="81"/>
    </row>
    <row r="57" spans="1:10" x14ac:dyDescent="0.25">
      <c r="A57" s="32">
        <v>55</v>
      </c>
      <c r="B57" s="131" t="s">
        <v>198</v>
      </c>
      <c r="C57" s="133">
        <v>343.37943000000001</v>
      </c>
      <c r="D57" s="133">
        <v>294.14769999999999</v>
      </c>
      <c r="E57" s="120">
        <f t="shared" si="1"/>
        <v>16.737078005369433</v>
      </c>
      <c r="F57" s="45">
        <f>VLOOKUP(B57,'Табл 1'!$B$3:$F$68,5,0)</f>
        <v>3015028318</v>
      </c>
      <c r="H57" s="45"/>
      <c r="J57" s="45"/>
    </row>
    <row r="58" spans="1:10" x14ac:dyDescent="0.25">
      <c r="A58" s="32">
        <v>56</v>
      </c>
      <c r="B58" s="131" t="s">
        <v>22</v>
      </c>
      <c r="C58" s="133">
        <v>326.68799999999999</v>
      </c>
      <c r="D58" s="133">
        <v>208.68299999999999</v>
      </c>
      <c r="E58" s="120">
        <f t="shared" si="1"/>
        <v>56.547490691623167</v>
      </c>
      <c r="F58" s="45">
        <f>VLOOKUP(B58,'Табл 1'!$B$3:$F$68,5,0)</f>
        <v>1831178411</v>
      </c>
      <c r="G58" s="45"/>
      <c r="H58" s="45"/>
      <c r="J58" s="81"/>
    </row>
    <row r="59" spans="1:10" x14ac:dyDescent="0.25">
      <c r="A59" s="32">
        <v>57</v>
      </c>
      <c r="B59" s="131" t="s">
        <v>194</v>
      </c>
      <c r="C59" s="133">
        <v>286.76069999999999</v>
      </c>
      <c r="D59" s="133">
        <v>208.00200000000001</v>
      </c>
      <c r="E59" s="120">
        <f t="shared" si="1"/>
        <v>37.8643955346583</v>
      </c>
      <c r="F59" s="45">
        <f>VLOOKUP(B59,'Табл 1'!$B$3:$F$68,5,0)</f>
        <v>6450939546</v>
      </c>
      <c r="G59" s="45"/>
      <c r="H59" s="45"/>
      <c r="J59" s="81"/>
    </row>
    <row r="60" spans="1:10" x14ac:dyDescent="0.25">
      <c r="A60" s="32">
        <v>58</v>
      </c>
      <c r="B60" s="131" t="s">
        <v>16</v>
      </c>
      <c r="C60" s="133">
        <v>255.38499999999999</v>
      </c>
      <c r="D60" s="133">
        <v>141.536</v>
      </c>
      <c r="E60" s="120">
        <f t="shared" si="1"/>
        <v>80.438192403346136</v>
      </c>
      <c r="F60" s="45">
        <f>VLOOKUP(B60,'Табл 1'!$B$3:$F$68,5,0)</f>
        <v>4205312696</v>
      </c>
      <c r="G60" s="45"/>
      <c r="H60" s="45"/>
      <c r="J60" s="81"/>
    </row>
    <row r="61" spans="1:10" x14ac:dyDescent="0.25">
      <c r="A61" s="32">
        <v>59</v>
      </c>
      <c r="B61" s="131" t="s">
        <v>248</v>
      </c>
      <c r="C61" s="133">
        <v>177.00299999999999</v>
      </c>
      <c r="D61" s="133">
        <v>71.269289999999998</v>
      </c>
      <c r="E61" s="120">
        <f t="shared" si="1"/>
        <v>148.35802349090329</v>
      </c>
      <c r="F61" s="45">
        <f>VLOOKUP(B61,'Табл 1'!$B$3:$F$68,5,0)</f>
        <v>2801249882</v>
      </c>
      <c r="G61" s="45"/>
      <c r="H61" s="45"/>
      <c r="J61" s="81"/>
    </row>
    <row r="62" spans="1:10" s="45" customFormat="1" x14ac:dyDescent="0.25">
      <c r="A62" s="32">
        <v>60</v>
      </c>
      <c r="B62" s="131" t="s">
        <v>207</v>
      </c>
      <c r="C62" s="133">
        <v>175.48</v>
      </c>
      <c r="D62" s="133">
        <v>70.295000000000002</v>
      </c>
      <c r="E62" s="120">
        <f t="shared" si="1"/>
        <v>149.63368660644426</v>
      </c>
      <c r="F62" s="45">
        <f>VLOOKUP(B62,'Табл 1'!$B$3:$F$68,5,0)</f>
        <v>7536165141</v>
      </c>
      <c r="J62" s="81"/>
    </row>
    <row r="63" spans="1:10" x14ac:dyDescent="0.25">
      <c r="A63" s="32">
        <v>61</v>
      </c>
      <c r="B63" s="54" t="s">
        <v>283</v>
      </c>
      <c r="C63" s="133">
        <v>161.65700000000001</v>
      </c>
      <c r="D63" s="133">
        <v>204.70099999999999</v>
      </c>
      <c r="E63" s="120">
        <f t="shared" si="1"/>
        <v>-21.027742903063483</v>
      </c>
      <c r="F63" s="45">
        <f>VLOOKUP(B63,'Табл 1'!$B$3:$F$68,5,0)</f>
        <v>2465260220</v>
      </c>
      <c r="G63" s="45"/>
      <c r="H63" s="45"/>
      <c r="J63" s="81"/>
    </row>
    <row r="64" spans="1:10" x14ac:dyDescent="0.25">
      <c r="A64" s="32">
        <v>62</v>
      </c>
      <c r="B64" s="131" t="s">
        <v>274</v>
      </c>
      <c r="C64" s="133">
        <v>70.489000000000004</v>
      </c>
      <c r="D64" s="133">
        <v>9</v>
      </c>
      <c r="E64" s="120">
        <f t="shared" si="1"/>
        <v>683.21111111111122</v>
      </c>
      <c r="F64" s="45">
        <f>VLOOKUP(B64,'Табл 1'!$B$3:$F$68,5,0)</f>
        <v>7901550330</v>
      </c>
      <c r="G64" s="45"/>
      <c r="H64" s="45"/>
      <c r="J64" s="81"/>
    </row>
    <row r="65" spans="1:10" x14ac:dyDescent="0.25">
      <c r="A65" s="32">
        <v>63</v>
      </c>
      <c r="B65" s="131" t="s">
        <v>241</v>
      </c>
      <c r="C65" s="133">
        <v>52.113999999999997</v>
      </c>
      <c r="D65" s="133">
        <v>47.74</v>
      </c>
      <c r="E65" s="120">
        <f t="shared" si="1"/>
        <v>9.1621281943862432</v>
      </c>
      <c r="F65" s="45">
        <f>VLOOKUP(B65,'Табл 1'!$B$3:$F$68,5,0)</f>
        <v>3818029140</v>
      </c>
      <c r="G65" s="45"/>
      <c r="H65" s="45"/>
      <c r="J65" s="81"/>
    </row>
    <row r="66" spans="1:10" x14ac:dyDescent="0.25">
      <c r="A66" s="32">
        <v>64</v>
      </c>
      <c r="B66" s="131" t="s">
        <v>246</v>
      </c>
      <c r="C66" s="133">
        <v>40.571280000000002</v>
      </c>
      <c r="D66" s="133">
        <v>127.6075</v>
      </c>
      <c r="E66" s="120">
        <f t="shared" si="1"/>
        <v>-68.206194776952771</v>
      </c>
      <c r="F66" s="45">
        <f>VLOOKUP(B66,'Табл 1'!$B$3:$F$68,5,0)</f>
        <v>1435296482</v>
      </c>
      <c r="G66" s="45"/>
      <c r="H66" s="45"/>
      <c r="J66" s="81"/>
    </row>
    <row r="67" spans="1:10" x14ac:dyDescent="0.25">
      <c r="A67" s="32">
        <v>65</v>
      </c>
      <c r="B67" s="131" t="s">
        <v>273</v>
      </c>
      <c r="C67" s="133">
        <v>25.829000000000001</v>
      </c>
      <c r="D67" s="133">
        <v>20.655000000000001</v>
      </c>
      <c r="E67" s="120">
        <f t="shared" si="1"/>
        <v>25.049624788186886</v>
      </c>
      <c r="F67" s="45">
        <f>VLOOKUP(B67,'Табл 1'!$B$3:$F$68,5,0)</f>
        <v>1824002590</v>
      </c>
      <c r="G67" s="45"/>
      <c r="H67" s="45"/>
      <c r="J67" s="81"/>
    </row>
    <row r="68" spans="1:10" s="45" customFormat="1" x14ac:dyDescent="0.25">
      <c r="A68" s="31"/>
      <c r="B68" s="50"/>
      <c r="C68" s="122"/>
      <c r="D68" s="122"/>
      <c r="E68" s="122"/>
      <c r="F68" s="4"/>
    </row>
    <row r="69" spans="1:10" s="45" customFormat="1" x14ac:dyDescent="0.25">
      <c r="A69" s="31"/>
      <c r="B69" s="50"/>
      <c r="C69" s="122"/>
      <c r="D69" s="122"/>
      <c r="E69" s="122"/>
      <c r="F69" s="81"/>
    </row>
    <row r="70" spans="1:10" s="45" customFormat="1" x14ac:dyDescent="0.25">
      <c r="A70" s="31"/>
      <c r="B70" s="50"/>
      <c r="C70" s="122"/>
      <c r="D70" s="122"/>
      <c r="E70" s="122"/>
      <c r="F70" s="81"/>
    </row>
    <row r="71" spans="1:10" s="45" customFormat="1" x14ac:dyDescent="0.25">
      <c r="A71" s="31"/>
      <c r="B71" s="50"/>
      <c r="C71" s="122"/>
      <c r="D71" s="122"/>
      <c r="E71" s="122"/>
      <c r="F71" s="81"/>
      <c r="G71" s="4"/>
      <c r="H71" s="4"/>
    </row>
    <row r="72" spans="1:10" s="45" customFormat="1" x14ac:dyDescent="0.25">
      <c r="A72" s="31"/>
      <c r="B72" s="50"/>
      <c r="C72" s="122"/>
      <c r="D72" s="122"/>
      <c r="E72" s="122"/>
      <c r="F72" s="81"/>
    </row>
    <row r="73" spans="1:10" s="45" customFormat="1" x14ac:dyDescent="0.25">
      <c r="A73" s="31"/>
      <c r="B73" s="50"/>
      <c r="C73" s="122"/>
      <c r="D73" s="122"/>
      <c r="E73" s="122"/>
      <c r="F73" s="4"/>
    </row>
    <row r="74" spans="1:10" s="45" customFormat="1" x14ac:dyDescent="0.25">
      <c r="A74" s="31"/>
      <c r="B74" s="50"/>
      <c r="C74" s="122"/>
      <c r="D74" s="122"/>
      <c r="E74" s="122"/>
      <c r="F74" s="4"/>
    </row>
    <row r="75" spans="1:10" x14ac:dyDescent="0.25">
      <c r="F75" s="81"/>
    </row>
    <row r="76" spans="1:10" x14ac:dyDescent="0.25">
      <c r="F76" s="81"/>
      <c r="J76" s="45"/>
    </row>
    <row r="77" spans="1:10" x14ac:dyDescent="0.25">
      <c r="F77" s="81"/>
    </row>
    <row r="78" spans="1:10" x14ac:dyDescent="0.25">
      <c r="J78" s="45"/>
    </row>
    <row r="79" spans="1:10" x14ac:dyDescent="0.25">
      <c r="H79" s="45"/>
    </row>
    <row r="80" spans="1:10" x14ac:dyDescent="0.25">
      <c r="H80" s="45"/>
      <c r="J80" s="45"/>
    </row>
    <row r="81" spans="8:8" x14ac:dyDescent="0.25">
      <c r="H81" s="45"/>
    </row>
    <row r="82" spans="8:8" x14ac:dyDescent="0.25">
      <c r="H82" s="45"/>
    </row>
  </sheetData>
  <autoFilter ref="A2:J2" xr:uid="{A6FB4977-2290-4DB9-96C8-0569DAA4D6EC}">
    <sortState xmlns:xlrd2="http://schemas.microsoft.com/office/spreadsheetml/2017/richdata2" ref="A3:J67">
      <sortCondition descending="1" ref="C2"/>
    </sortState>
  </autoFilter>
  <sortState xmlns:xlrd2="http://schemas.microsoft.com/office/spreadsheetml/2017/richdata2" ref="A37:F67">
    <sortCondition descending="1" ref="C37:C67"/>
  </sortState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6215-3A46-4E00-A1DD-AEB9EF119D6C}">
  <sheetPr codeName="Лист17">
    <tabColor theme="9" tint="0.79998168889431442"/>
  </sheetPr>
  <dimension ref="A1:S34"/>
  <sheetViews>
    <sheetView workbookViewId="0"/>
  </sheetViews>
  <sheetFormatPr defaultRowHeight="15" x14ac:dyDescent="0.25"/>
  <cols>
    <col min="1" max="1" width="9.140625" style="31"/>
    <col min="2" max="2" width="40.7109375" style="50" customWidth="1"/>
    <col min="3" max="8" width="15.7109375" style="57" customWidth="1"/>
    <col min="9" max="9" width="15.28515625" style="57" customWidth="1"/>
    <col min="10" max="10" width="14.42578125" style="57" customWidth="1"/>
    <col min="11" max="11" width="13.7109375" style="102" bestFit="1" customWidth="1"/>
    <col min="12" max="12" width="22.5703125" customWidth="1"/>
    <col min="13" max="13" width="16.7109375" customWidth="1"/>
    <col min="16" max="16" width="22.140625" customWidth="1"/>
    <col min="17" max="17" width="14.5703125" customWidth="1"/>
    <col min="19" max="19" width="11" bestFit="1" customWidth="1"/>
  </cols>
  <sheetData>
    <row r="1" spans="1:19" s="45" customFormat="1" x14ac:dyDescent="0.25">
      <c r="A1" s="38" t="s">
        <v>279</v>
      </c>
      <c r="B1" s="50"/>
      <c r="C1" s="57"/>
      <c r="D1" s="57"/>
      <c r="E1" s="57"/>
      <c r="F1" s="57"/>
      <c r="G1" s="57"/>
      <c r="H1" s="57"/>
      <c r="I1" s="57"/>
      <c r="J1" s="57"/>
      <c r="K1" s="102"/>
    </row>
    <row r="2" spans="1:19" s="45" customFormat="1" x14ac:dyDescent="0.25">
      <c r="A2" s="175" t="s">
        <v>265</v>
      </c>
      <c r="B2" s="175" t="s">
        <v>0</v>
      </c>
      <c r="C2" s="177" t="s">
        <v>266</v>
      </c>
      <c r="D2" s="178"/>
      <c r="E2" s="179"/>
      <c r="F2" s="177" t="s">
        <v>267</v>
      </c>
      <c r="G2" s="178"/>
      <c r="H2" s="179"/>
      <c r="I2" s="175" t="s">
        <v>26</v>
      </c>
      <c r="J2" s="175" t="s">
        <v>6</v>
      </c>
      <c r="K2" s="102"/>
    </row>
    <row r="3" spans="1:19" s="45" customFormat="1" ht="33.75" x14ac:dyDescent="0.25">
      <c r="A3" s="176"/>
      <c r="B3" s="176"/>
      <c r="C3" s="136" t="s">
        <v>7</v>
      </c>
      <c r="D3" s="151" t="s">
        <v>280</v>
      </c>
      <c r="E3" s="151" t="s">
        <v>281</v>
      </c>
      <c r="F3" s="162" t="s">
        <v>7</v>
      </c>
      <c r="G3" s="151" t="s">
        <v>280</v>
      </c>
      <c r="H3" s="151" t="s">
        <v>281</v>
      </c>
      <c r="I3" s="176"/>
      <c r="J3" s="176"/>
      <c r="K3" s="102"/>
    </row>
    <row r="4" spans="1:19" x14ac:dyDescent="0.25">
      <c r="A4" s="32">
        <v>1</v>
      </c>
      <c r="B4" s="124" t="s">
        <v>8</v>
      </c>
      <c r="C4" s="120">
        <v>7087.6040000000003</v>
      </c>
      <c r="D4" s="120">
        <v>2140.2060000000001</v>
      </c>
      <c r="E4" s="120">
        <v>1762.799</v>
      </c>
      <c r="F4" s="120">
        <v>5310.27</v>
      </c>
      <c r="G4" s="120">
        <v>1713.934</v>
      </c>
      <c r="H4" s="120">
        <v>1289.8889999999999</v>
      </c>
      <c r="I4" s="120">
        <f>(C4/F4-1)*100</f>
        <v>33.469748242556399</v>
      </c>
      <c r="J4" s="120">
        <f>(D4/G4-1)*100</f>
        <v>24.870969360547157</v>
      </c>
      <c r="K4" s="20">
        <v>4205271785</v>
      </c>
      <c r="M4" s="20"/>
      <c r="N4" s="45"/>
      <c r="O4" s="45"/>
      <c r="P4" s="45"/>
    </row>
    <row r="5" spans="1:19" s="45" customFormat="1" x14ac:dyDescent="0.25">
      <c r="A5" s="32">
        <v>2</v>
      </c>
      <c r="B5" s="164" t="s">
        <v>259</v>
      </c>
      <c r="C5" s="173">
        <v>3401.1480000000001</v>
      </c>
      <c r="D5" s="121">
        <v>1000.672</v>
      </c>
      <c r="E5" s="121">
        <v>759.15099999999995</v>
      </c>
      <c r="F5" s="121">
        <v>2225.1709999999998</v>
      </c>
      <c r="G5" s="121">
        <v>883.69299999999998</v>
      </c>
      <c r="H5" s="121">
        <v>672.78099999999995</v>
      </c>
      <c r="I5" s="120">
        <f t="shared" ref="I5:I26" si="0">(C5/F5-1)*100</f>
        <v>52.848837235430459</v>
      </c>
      <c r="J5" s="120">
        <f t="shared" ref="J5:J26" si="1">(D5/G5-1)*100</f>
        <v>13.23751574358969</v>
      </c>
      <c r="K5" s="20" t="s">
        <v>289</v>
      </c>
    </row>
    <row r="6" spans="1:19" s="45" customFormat="1" x14ac:dyDescent="0.25">
      <c r="A6" s="32">
        <v>3</v>
      </c>
      <c r="B6" s="1" t="s">
        <v>304</v>
      </c>
      <c r="C6" s="121">
        <v>2417.0189999999998</v>
      </c>
      <c r="D6" s="121" t="s">
        <v>5</v>
      </c>
      <c r="E6" s="121" t="s">
        <v>5</v>
      </c>
      <c r="F6" s="121">
        <v>2495.192</v>
      </c>
      <c r="G6" s="121" t="s">
        <v>5</v>
      </c>
      <c r="H6" s="121" t="s">
        <v>5</v>
      </c>
      <c r="I6" s="120">
        <f t="shared" si="0"/>
        <v>-3.1329452803632085</v>
      </c>
      <c r="J6" s="120" t="s">
        <v>245</v>
      </c>
      <c r="K6" s="20" t="s">
        <v>114</v>
      </c>
    </row>
    <row r="7" spans="1:19" s="45" customFormat="1" x14ac:dyDescent="0.25">
      <c r="A7" s="32">
        <v>4</v>
      </c>
      <c r="B7" s="165" t="s">
        <v>291</v>
      </c>
      <c r="C7" s="121">
        <v>1951.105</v>
      </c>
      <c r="D7" s="121">
        <v>880.43</v>
      </c>
      <c r="E7" s="121">
        <v>691.42200000000003</v>
      </c>
      <c r="F7" s="121">
        <v>1285.684</v>
      </c>
      <c r="G7" s="121">
        <v>963.09799999999996</v>
      </c>
      <c r="H7" s="121">
        <v>752.64700000000005</v>
      </c>
      <c r="I7" s="120">
        <f>(C7/F7-1)*100</f>
        <v>51.756185812376913</v>
      </c>
      <c r="J7" s="120">
        <f>(D7/G7-1)*100</f>
        <v>-8.5835501683110156</v>
      </c>
      <c r="K7" s="20" t="s">
        <v>214</v>
      </c>
    </row>
    <row r="8" spans="1:19" s="45" customFormat="1" x14ac:dyDescent="0.25">
      <c r="A8" s="32">
        <v>5</v>
      </c>
      <c r="B8" s="1" t="s">
        <v>257</v>
      </c>
      <c r="C8" s="121">
        <v>1720.0321799999999</v>
      </c>
      <c r="D8" s="121">
        <v>1490.3219999999999</v>
      </c>
      <c r="E8" s="121">
        <v>1257.8676</v>
      </c>
      <c r="F8" s="121" t="s">
        <v>5</v>
      </c>
      <c r="G8" s="121" t="s">
        <v>5</v>
      </c>
      <c r="H8" s="121" t="s">
        <v>5</v>
      </c>
      <c r="I8" s="120" t="s">
        <v>245</v>
      </c>
      <c r="J8" s="120" t="s">
        <v>245</v>
      </c>
      <c r="K8" s="20">
        <v>5407973316</v>
      </c>
    </row>
    <row r="9" spans="1:19" x14ac:dyDescent="0.25">
      <c r="A9" s="32">
        <v>6</v>
      </c>
      <c r="B9" s="124" t="s">
        <v>10</v>
      </c>
      <c r="C9" s="121">
        <v>1491.328</v>
      </c>
      <c r="D9" s="121">
        <v>406.75299999999999</v>
      </c>
      <c r="E9" s="121">
        <v>324.99400000000003</v>
      </c>
      <c r="F9" s="121">
        <v>1042.9110000000001</v>
      </c>
      <c r="G9" s="121">
        <v>394.82100000000003</v>
      </c>
      <c r="H9" s="121">
        <v>321.01499999999999</v>
      </c>
      <c r="I9" s="120">
        <f t="shared" si="0"/>
        <v>42.996669898006637</v>
      </c>
      <c r="J9" s="120">
        <f t="shared" si="1"/>
        <v>3.022129015427244</v>
      </c>
      <c r="K9" s="20">
        <v>5260271530</v>
      </c>
      <c r="L9" s="102"/>
      <c r="N9" s="45"/>
      <c r="O9" s="45"/>
      <c r="P9" s="45"/>
      <c r="S9" s="45"/>
    </row>
    <row r="10" spans="1:19" x14ac:dyDescent="0.25">
      <c r="A10" s="32">
        <v>7</v>
      </c>
      <c r="B10" s="1" t="s">
        <v>19</v>
      </c>
      <c r="C10" s="121">
        <v>1485.8230000000001</v>
      </c>
      <c r="D10" s="121">
        <v>1001.535</v>
      </c>
      <c r="E10" s="121">
        <v>773.93600000000004</v>
      </c>
      <c r="F10" s="121">
        <v>3406.6869999999999</v>
      </c>
      <c r="G10" s="121">
        <v>1075.173</v>
      </c>
      <c r="H10" s="121">
        <v>857.92100000000005</v>
      </c>
      <c r="I10" s="120">
        <f t="shared" si="0"/>
        <v>-56.385103767971636</v>
      </c>
      <c r="J10" s="120">
        <f t="shared" si="1"/>
        <v>-6.8489443094274183</v>
      </c>
      <c r="K10" s="20">
        <v>7704784072</v>
      </c>
      <c r="N10" s="45"/>
      <c r="O10" s="45"/>
      <c r="P10" s="45"/>
      <c r="S10" s="45"/>
    </row>
    <row r="11" spans="1:19" s="45" customFormat="1" x14ac:dyDescent="0.25">
      <c r="A11" s="32">
        <v>8</v>
      </c>
      <c r="B11" s="164" t="s">
        <v>314</v>
      </c>
      <c r="C11" s="121">
        <v>1428</v>
      </c>
      <c r="D11" s="121">
        <v>717.43799999999999</v>
      </c>
      <c r="E11" s="121">
        <v>597.28499999999997</v>
      </c>
      <c r="F11" s="121">
        <v>1558.904</v>
      </c>
      <c r="G11" s="121">
        <v>829.39400000000001</v>
      </c>
      <c r="H11" s="121">
        <v>656.24699999999996</v>
      </c>
      <c r="I11" s="120">
        <f>(C11/F11-1)*100</f>
        <v>-8.3971816096437006</v>
      </c>
      <c r="J11" s="120">
        <f>(D11/G11-1)*100</f>
        <v>-13.498530252208241</v>
      </c>
      <c r="K11" s="20">
        <v>7733812126</v>
      </c>
    </row>
    <row r="12" spans="1:19" x14ac:dyDescent="0.25">
      <c r="A12" s="32">
        <v>9</v>
      </c>
      <c r="B12" s="164" t="s">
        <v>262</v>
      </c>
      <c r="C12" s="121">
        <v>853.23099999999999</v>
      </c>
      <c r="D12" s="121">
        <v>241.71799999999999</v>
      </c>
      <c r="E12" s="121">
        <v>189.27799999999999</v>
      </c>
      <c r="F12" s="121">
        <v>801.92399999999998</v>
      </c>
      <c r="G12" s="121">
        <v>163.71799999999999</v>
      </c>
      <c r="H12" s="121">
        <v>124.60599999999999</v>
      </c>
      <c r="I12" s="120">
        <f t="shared" si="0"/>
        <v>6.3979878392466105</v>
      </c>
      <c r="J12" s="120">
        <f t="shared" si="1"/>
        <v>47.642898154143111</v>
      </c>
      <c r="K12" s="20">
        <v>4205219217</v>
      </c>
      <c r="L12" s="102"/>
      <c r="N12" s="45"/>
      <c r="O12" s="45"/>
      <c r="P12" s="45"/>
      <c r="S12" s="45"/>
    </row>
    <row r="13" spans="1:19" x14ac:dyDescent="0.25">
      <c r="A13" s="32">
        <v>10</v>
      </c>
      <c r="B13" s="1" t="s">
        <v>221</v>
      </c>
      <c r="C13" s="121">
        <v>763.73500000000001</v>
      </c>
      <c r="D13" s="121">
        <v>249.42</v>
      </c>
      <c r="E13" s="121">
        <v>152.529</v>
      </c>
      <c r="F13" s="121">
        <v>447.43700000000001</v>
      </c>
      <c r="G13" s="121">
        <v>160.571</v>
      </c>
      <c r="H13" s="121">
        <v>117.434</v>
      </c>
      <c r="I13" s="120">
        <f t="shared" si="0"/>
        <v>70.691069357250285</v>
      </c>
      <c r="J13" s="120">
        <f t="shared" si="1"/>
        <v>55.333154803793946</v>
      </c>
      <c r="K13" s="20">
        <v>5260355389</v>
      </c>
      <c r="L13" s="102"/>
      <c r="M13" s="45"/>
      <c r="N13" s="45"/>
      <c r="O13" s="45"/>
      <c r="P13" s="45"/>
      <c r="S13" s="45"/>
    </row>
    <row r="14" spans="1:19" x14ac:dyDescent="0.25">
      <c r="A14" s="32">
        <v>11</v>
      </c>
      <c r="B14" s="166" t="s">
        <v>235</v>
      </c>
      <c r="C14" s="120">
        <v>640.66099999999994</v>
      </c>
      <c r="D14" s="120">
        <v>138.012</v>
      </c>
      <c r="E14" s="120">
        <v>115.46899999999999</v>
      </c>
      <c r="F14" s="120">
        <v>993.32500000000005</v>
      </c>
      <c r="G14" s="120">
        <v>139.66999999999999</v>
      </c>
      <c r="H14" s="120">
        <v>111.158</v>
      </c>
      <c r="I14" s="120">
        <f t="shared" si="0"/>
        <v>-35.503385095512549</v>
      </c>
      <c r="J14" s="120">
        <f t="shared" si="1"/>
        <v>-1.187083840481129</v>
      </c>
      <c r="K14" s="20" t="s">
        <v>111</v>
      </c>
      <c r="L14" s="102"/>
      <c r="M14" s="20"/>
      <c r="N14" s="45"/>
      <c r="O14" s="45"/>
      <c r="P14" s="45"/>
      <c r="S14" s="45"/>
    </row>
    <row r="15" spans="1:19" x14ac:dyDescent="0.25">
      <c r="A15" s="32">
        <v>12</v>
      </c>
      <c r="B15" s="166" t="s">
        <v>287</v>
      </c>
      <c r="C15" s="120">
        <v>457.30787200000003</v>
      </c>
      <c r="D15" s="120">
        <v>451.45062000000007</v>
      </c>
      <c r="E15" s="120">
        <v>5.4163579999999998</v>
      </c>
      <c r="F15" s="120">
        <v>523.58607299999994</v>
      </c>
      <c r="G15" s="120">
        <v>36.303985999999995</v>
      </c>
      <c r="H15" s="120">
        <v>26.599800999999999</v>
      </c>
      <c r="I15" s="120">
        <f t="shared" si="0"/>
        <v>-12.658511067768586</v>
      </c>
      <c r="J15" s="120">
        <f t="shared" si="1"/>
        <v>1143.5290714358478</v>
      </c>
      <c r="K15" s="20" t="s">
        <v>288</v>
      </c>
      <c r="L15" s="102"/>
      <c r="N15" s="45"/>
      <c r="O15" s="45"/>
      <c r="P15" s="45"/>
      <c r="S15" s="45"/>
    </row>
    <row r="16" spans="1:19" s="45" customFormat="1" x14ac:dyDescent="0.25">
      <c r="A16" s="32">
        <v>13</v>
      </c>
      <c r="B16" s="124" t="s">
        <v>282</v>
      </c>
      <c r="C16" s="120">
        <v>323.17700000000002</v>
      </c>
      <c r="D16" s="120">
        <v>172.685</v>
      </c>
      <c r="E16" s="120">
        <v>138.523</v>
      </c>
      <c r="F16" s="120">
        <v>104.61</v>
      </c>
      <c r="G16" s="120">
        <v>65.936000000000007</v>
      </c>
      <c r="H16" s="120">
        <v>49.576999999999998</v>
      </c>
      <c r="I16" s="120">
        <f t="shared" si="0"/>
        <v>208.93509224739512</v>
      </c>
      <c r="J16" s="120">
        <f t="shared" si="1"/>
        <v>161.89790099490412</v>
      </c>
      <c r="K16" s="20">
        <v>1659182700</v>
      </c>
    </row>
    <row r="17" spans="1:19" s="45" customFormat="1" x14ac:dyDescent="0.25">
      <c r="A17" s="32">
        <v>14</v>
      </c>
      <c r="B17" s="166" t="s">
        <v>286</v>
      </c>
      <c r="C17" s="121">
        <v>290.03699999999998</v>
      </c>
      <c r="D17" s="120">
        <v>148.94800000000001</v>
      </c>
      <c r="E17" s="120">
        <v>119.194</v>
      </c>
      <c r="F17" s="120">
        <v>54.103000000000002</v>
      </c>
      <c r="G17" s="120">
        <v>54.103000000000002</v>
      </c>
      <c r="H17" s="120">
        <v>54.01</v>
      </c>
      <c r="I17" s="120">
        <f t="shared" si="0"/>
        <v>436.08302681921509</v>
      </c>
      <c r="J17" s="120">
        <f t="shared" si="1"/>
        <v>175.30451176459718</v>
      </c>
      <c r="K17" s="20">
        <v>7704493556</v>
      </c>
      <c r="M17" s="20"/>
    </row>
    <row r="18" spans="1:19" x14ac:dyDescent="0.25">
      <c r="A18" s="32">
        <v>15</v>
      </c>
      <c r="B18" s="124" t="s">
        <v>11</v>
      </c>
      <c r="C18" s="120">
        <v>229.761</v>
      </c>
      <c r="D18" s="120">
        <v>83.376999999999995</v>
      </c>
      <c r="E18" s="120">
        <v>66.534000000000006</v>
      </c>
      <c r="F18" s="120">
        <v>649.50300000000004</v>
      </c>
      <c r="G18" s="120">
        <v>122.179</v>
      </c>
      <c r="H18" s="120">
        <v>70.27</v>
      </c>
      <c r="I18" s="120">
        <f t="shared" si="0"/>
        <v>-64.625105657710591</v>
      </c>
      <c r="J18" s="120">
        <f t="shared" si="1"/>
        <v>-31.758321806529764</v>
      </c>
      <c r="K18" s="20">
        <v>5407264020</v>
      </c>
      <c r="L18" s="102"/>
      <c r="N18" s="45"/>
      <c r="O18" s="45"/>
      <c r="P18" s="45"/>
      <c r="S18" s="45"/>
    </row>
    <row r="19" spans="1:19" x14ac:dyDescent="0.25">
      <c r="A19" s="32">
        <v>16</v>
      </c>
      <c r="B19" s="1" t="s">
        <v>285</v>
      </c>
      <c r="C19" s="120">
        <v>217.10599999999999</v>
      </c>
      <c r="D19" s="120">
        <v>105.79900000000001</v>
      </c>
      <c r="E19" s="120">
        <v>39.469000000000001</v>
      </c>
      <c r="F19" s="120">
        <v>304.702</v>
      </c>
      <c r="G19" s="120">
        <v>254.839</v>
      </c>
      <c r="H19" s="120" t="s">
        <v>5</v>
      </c>
      <c r="I19" s="120">
        <f t="shared" si="0"/>
        <v>-28.748088296105699</v>
      </c>
      <c r="J19" s="120">
        <f t="shared" si="1"/>
        <v>-58.483984005587843</v>
      </c>
      <c r="K19" s="163">
        <v>5501246928</v>
      </c>
      <c r="N19" s="45"/>
      <c r="O19" s="45"/>
      <c r="P19" s="45"/>
      <c r="S19" s="45"/>
    </row>
    <row r="20" spans="1:19" x14ac:dyDescent="0.25">
      <c r="A20" s="32">
        <v>17</v>
      </c>
      <c r="B20" s="164" t="s">
        <v>220</v>
      </c>
      <c r="C20" s="120">
        <v>133.393</v>
      </c>
      <c r="D20" s="120">
        <v>74.070999999999998</v>
      </c>
      <c r="E20" s="120">
        <v>59.631</v>
      </c>
      <c r="F20" s="120">
        <v>194.524</v>
      </c>
      <c r="G20" s="120">
        <v>71.302999999999997</v>
      </c>
      <c r="H20" s="120">
        <v>48.834000000000003</v>
      </c>
      <c r="I20" s="120">
        <f t="shared" si="0"/>
        <v>-31.4259423001789</v>
      </c>
      <c r="J20" s="120">
        <f t="shared" si="1"/>
        <v>3.8820245992454705</v>
      </c>
      <c r="K20" s="20">
        <v>7705974076</v>
      </c>
      <c r="L20" s="102"/>
      <c r="M20" s="20"/>
      <c r="N20" s="45"/>
      <c r="O20" s="45"/>
      <c r="P20" s="45"/>
      <c r="S20" s="45"/>
    </row>
    <row r="21" spans="1:19" s="45" customFormat="1" x14ac:dyDescent="0.25">
      <c r="A21" s="32">
        <v>18</v>
      </c>
      <c r="B21" s="124" t="s">
        <v>15</v>
      </c>
      <c r="C21" s="120">
        <v>92.9</v>
      </c>
      <c r="D21" s="120">
        <v>56.353000000000002</v>
      </c>
      <c r="E21" s="120">
        <v>48.09</v>
      </c>
      <c r="F21" s="120">
        <v>45.972000000000001</v>
      </c>
      <c r="G21" s="120">
        <v>13.303000000000001</v>
      </c>
      <c r="H21" s="120">
        <v>8.8539999999999992</v>
      </c>
      <c r="I21" s="120">
        <f>(C21/F21-1)*100</f>
        <v>102.07952666840687</v>
      </c>
      <c r="J21" s="120">
        <f>(D21/G21-1)*100</f>
        <v>323.61121551529726</v>
      </c>
      <c r="K21" s="163">
        <v>7715825027</v>
      </c>
      <c r="L21" s="102"/>
      <c r="M21" s="20"/>
    </row>
    <row r="22" spans="1:19" x14ac:dyDescent="0.25">
      <c r="A22" s="32">
        <v>19</v>
      </c>
      <c r="B22" s="1" t="s">
        <v>313</v>
      </c>
      <c r="C22" s="120">
        <v>71.176000000000002</v>
      </c>
      <c r="D22" s="120">
        <v>29.15</v>
      </c>
      <c r="E22" s="120">
        <v>25.178999999999998</v>
      </c>
      <c r="F22" s="120">
        <v>177.32499999999999</v>
      </c>
      <c r="G22" s="120">
        <v>38.262</v>
      </c>
      <c r="H22" s="120">
        <v>33.603999999999999</v>
      </c>
      <c r="I22" s="120">
        <f t="shared" si="0"/>
        <v>-59.861271676300575</v>
      </c>
      <c r="J22" s="120">
        <f t="shared" si="1"/>
        <v>-23.814750927813499</v>
      </c>
      <c r="K22" s="45" t="s">
        <v>12</v>
      </c>
      <c r="L22" s="102"/>
      <c r="M22" s="20"/>
      <c r="N22" s="45"/>
      <c r="O22" s="45"/>
      <c r="P22" s="45"/>
      <c r="S22" s="45"/>
    </row>
    <row r="23" spans="1:19" s="45" customFormat="1" x14ac:dyDescent="0.25">
      <c r="A23" s="32">
        <v>20</v>
      </c>
      <c r="B23" s="124" t="s">
        <v>283</v>
      </c>
      <c r="C23" s="120">
        <v>68.144000000000005</v>
      </c>
      <c r="D23" s="120">
        <v>20.372</v>
      </c>
      <c r="E23" s="120">
        <v>17.690000000000001</v>
      </c>
      <c r="F23" s="120">
        <v>63.500999999999998</v>
      </c>
      <c r="G23" s="120">
        <v>22.152999999999999</v>
      </c>
      <c r="H23" s="120">
        <v>19.117000000000001</v>
      </c>
      <c r="I23" s="120">
        <f t="shared" si="0"/>
        <v>7.311695878805069</v>
      </c>
      <c r="J23" s="120">
        <f t="shared" si="1"/>
        <v>-8.0395431769963324</v>
      </c>
      <c r="K23" s="20">
        <v>2465260220</v>
      </c>
    </row>
    <row r="24" spans="1:19" s="45" customFormat="1" x14ac:dyDescent="0.25">
      <c r="A24" s="32">
        <v>21</v>
      </c>
      <c r="B24" s="124" t="s">
        <v>16</v>
      </c>
      <c r="C24" s="120">
        <v>47.390999999999998</v>
      </c>
      <c r="D24" s="120">
        <v>15.922000000000001</v>
      </c>
      <c r="E24" s="120">
        <v>13.198</v>
      </c>
      <c r="F24" s="120">
        <v>38.170999999999999</v>
      </c>
      <c r="G24" s="120">
        <v>23.672000000000001</v>
      </c>
      <c r="H24" s="120">
        <v>20.675999999999998</v>
      </c>
      <c r="I24" s="120">
        <f t="shared" si="0"/>
        <v>24.154462812082468</v>
      </c>
      <c r="J24" s="120">
        <f t="shared" si="1"/>
        <v>-32.739101047651232</v>
      </c>
      <c r="K24" s="20">
        <v>4205312696</v>
      </c>
      <c r="M24" s="20"/>
    </row>
    <row r="25" spans="1:19" s="45" customFormat="1" x14ac:dyDescent="0.25">
      <c r="A25" s="32">
        <v>22</v>
      </c>
      <c r="B25" s="124" t="s">
        <v>33</v>
      </c>
      <c r="C25" s="120">
        <v>38.015000000000001</v>
      </c>
      <c r="D25" s="120">
        <v>0.60699999999999998</v>
      </c>
      <c r="E25" s="120">
        <v>0.59</v>
      </c>
      <c r="F25" s="120">
        <v>49.296999999999997</v>
      </c>
      <c r="G25" s="120">
        <v>18.053000000000001</v>
      </c>
      <c r="H25" s="120">
        <v>15.369</v>
      </c>
      <c r="I25" s="120">
        <f t="shared" si="0"/>
        <v>-22.885773982189583</v>
      </c>
      <c r="J25" s="120">
        <f t="shared" si="1"/>
        <v>-96.637677948263445</v>
      </c>
      <c r="K25" s="20">
        <v>5410059568</v>
      </c>
    </row>
    <row r="26" spans="1:19" s="45" customFormat="1" x14ac:dyDescent="0.25">
      <c r="A26" s="32">
        <v>23</v>
      </c>
      <c r="B26" s="124" t="s">
        <v>251</v>
      </c>
      <c r="C26" s="120">
        <v>20.119</v>
      </c>
      <c r="D26" s="120">
        <v>6.2169999999999996</v>
      </c>
      <c r="E26" s="120">
        <v>4.9800000000000004</v>
      </c>
      <c r="F26" s="120">
        <v>23.89</v>
      </c>
      <c r="G26" s="120">
        <v>4.8319999999999999</v>
      </c>
      <c r="H26" s="120">
        <v>3.8359999999999999</v>
      </c>
      <c r="I26" s="120">
        <f t="shared" si="0"/>
        <v>-15.784847216408536</v>
      </c>
      <c r="J26" s="120">
        <f t="shared" si="1"/>
        <v>28.663079470198682</v>
      </c>
      <c r="K26" s="20" t="s">
        <v>18</v>
      </c>
    </row>
    <row r="27" spans="1:19" x14ac:dyDescent="0.25">
      <c r="A27" s="38" t="s">
        <v>290</v>
      </c>
    </row>
    <row r="28" spans="1:19" s="45" customFormat="1" x14ac:dyDescent="0.25">
      <c r="A28" s="38" t="s">
        <v>305</v>
      </c>
      <c r="B28" s="50"/>
      <c r="C28" s="57"/>
      <c r="D28" s="57"/>
      <c r="E28" s="57"/>
      <c r="F28" s="57"/>
      <c r="G28" s="57"/>
      <c r="H28" s="57"/>
      <c r="I28" s="57"/>
      <c r="J28" s="57"/>
      <c r="K28" s="102"/>
    </row>
    <row r="29" spans="1:19" s="45" customFormat="1" x14ac:dyDescent="0.25">
      <c r="A29" s="45" t="s">
        <v>292</v>
      </c>
      <c r="B29" s="50"/>
      <c r="C29" s="57"/>
      <c r="D29" s="57"/>
      <c r="E29" s="57"/>
      <c r="F29" s="57"/>
      <c r="G29" s="57"/>
      <c r="H29" s="57"/>
      <c r="I29" s="57"/>
      <c r="J29" s="57"/>
      <c r="K29" s="102"/>
    </row>
    <row r="30" spans="1:19" s="45" customFormat="1" x14ac:dyDescent="0.25">
      <c r="A30" s="38" t="s">
        <v>311</v>
      </c>
      <c r="B30" s="50"/>
      <c r="C30" s="57"/>
      <c r="D30" s="57"/>
      <c r="E30" s="57"/>
      <c r="F30" s="57"/>
      <c r="G30" s="57"/>
      <c r="H30" s="57"/>
      <c r="I30" s="57"/>
      <c r="J30" s="57"/>
      <c r="K30" s="102"/>
    </row>
    <row r="31" spans="1:19" s="45" customFormat="1" x14ac:dyDescent="0.25">
      <c r="A31" s="38" t="s">
        <v>312</v>
      </c>
      <c r="B31" s="50"/>
      <c r="C31" s="57"/>
      <c r="D31" s="57"/>
      <c r="E31" s="57"/>
      <c r="F31" s="57"/>
      <c r="G31" s="57"/>
      <c r="H31" s="57"/>
      <c r="I31" s="57"/>
      <c r="J31" s="57"/>
      <c r="K31" s="102"/>
    </row>
    <row r="34" spans="1:1" x14ac:dyDescent="0.25">
      <c r="A34" s="38"/>
    </row>
  </sheetData>
  <sortState xmlns:xlrd2="http://schemas.microsoft.com/office/spreadsheetml/2017/richdata2" ref="A1:S31">
    <sortCondition descending="1" ref="C5:C24"/>
  </sortState>
  <mergeCells count="6">
    <mergeCell ref="J2:J3"/>
    <mergeCell ref="A2:A3"/>
    <mergeCell ref="B2:B3"/>
    <mergeCell ref="I2:I3"/>
    <mergeCell ref="C2:E2"/>
    <mergeCell ref="F2:H2"/>
  </mergeCells>
  <pageMargins left="0.7" right="0.7" top="0.75" bottom="0.75" header="0.3" footer="0.3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02E4A-1406-4452-90E5-1B0E06858B86}">
  <sheetPr codeName="Лист4"/>
  <dimension ref="A1:V37"/>
  <sheetViews>
    <sheetView topLeftCell="A7" workbookViewId="0">
      <selection activeCell="C28" sqref="C28"/>
    </sheetView>
  </sheetViews>
  <sheetFormatPr defaultColWidth="9.140625" defaultRowHeight="15" x14ac:dyDescent="0.25"/>
  <cols>
    <col min="1" max="1" width="9.140625" style="31"/>
    <col min="2" max="2" width="40.7109375" style="50" customWidth="1"/>
    <col min="3" max="14" width="15.7109375" style="57" customWidth="1"/>
    <col min="15" max="15" width="15.28515625" style="57" customWidth="1"/>
    <col min="16" max="16" width="14.28515625" style="57" customWidth="1"/>
    <col min="17" max="17" width="11" style="3" bestFit="1" customWidth="1"/>
    <col min="18" max="16384" width="9.140625" style="45"/>
  </cols>
  <sheetData>
    <row r="1" spans="1:22" x14ac:dyDescent="0.25">
      <c r="A1" s="38" t="s">
        <v>98</v>
      </c>
    </row>
    <row r="2" spans="1:22" x14ac:dyDescent="0.25">
      <c r="A2" s="175" t="s">
        <v>88</v>
      </c>
      <c r="B2" s="185" t="s">
        <v>0</v>
      </c>
      <c r="C2" s="182" t="s">
        <v>92</v>
      </c>
      <c r="D2" s="183"/>
      <c r="E2" s="183"/>
      <c r="F2" s="184"/>
      <c r="G2" s="182" t="s">
        <v>152</v>
      </c>
      <c r="H2" s="183"/>
      <c r="I2" s="183"/>
      <c r="J2" s="184"/>
      <c r="K2" s="182" t="s">
        <v>93</v>
      </c>
      <c r="L2" s="183"/>
      <c r="M2" s="183"/>
      <c r="N2" s="184"/>
      <c r="O2" s="180" t="s">
        <v>26</v>
      </c>
      <c r="P2" s="180" t="s">
        <v>6</v>
      </c>
    </row>
    <row r="3" spans="1:22" ht="56.25" x14ac:dyDescent="0.25">
      <c r="A3" s="176"/>
      <c r="B3" s="186"/>
      <c r="C3" s="59" t="s">
        <v>7</v>
      </c>
      <c r="D3" s="75" t="s">
        <v>94</v>
      </c>
      <c r="E3" s="75" t="s">
        <v>117</v>
      </c>
      <c r="F3" s="60" t="s">
        <v>95</v>
      </c>
      <c r="G3" s="59" t="s">
        <v>7</v>
      </c>
      <c r="H3" s="75" t="s">
        <v>94</v>
      </c>
      <c r="I3" s="75" t="s">
        <v>117</v>
      </c>
      <c r="J3" s="60"/>
      <c r="K3" s="74" t="s">
        <v>7</v>
      </c>
      <c r="L3" s="75" t="s">
        <v>94</v>
      </c>
      <c r="M3" s="60" t="s">
        <v>117</v>
      </c>
      <c r="N3" s="60" t="s">
        <v>95</v>
      </c>
      <c r="O3" s="181"/>
      <c r="P3" s="181"/>
    </row>
    <row r="4" spans="1:22" x14ac:dyDescent="0.25">
      <c r="A4" s="32"/>
      <c r="B4" s="54" t="s">
        <v>8</v>
      </c>
      <c r="C4" s="55" t="e">
        <f>HLOOKUP(B4,#REF!,13,FALSE)/1000</f>
        <v>#REF!</v>
      </c>
      <c r="D4" s="55" t="e">
        <f>HLOOKUP(B4,#REF!,17,FALSE)/1000</f>
        <v>#REF!</v>
      </c>
      <c r="E4" s="58" t="e">
        <f>100*(C4-D4)/C4</f>
        <v>#REF!</v>
      </c>
      <c r="F4" s="58">
        <v>75.924413738469084</v>
      </c>
      <c r="G4" s="58" t="e">
        <f>HLOOKUP(B4,#REF!,12,FALSE)/1000</f>
        <v>#REF!</v>
      </c>
      <c r="H4" s="58" t="e">
        <f>HLOOKUP(B4,#REF!,16,FALSE)/1000</f>
        <v>#REF!</v>
      </c>
      <c r="I4" s="58" t="e">
        <f>100*(G4-H4)/G4</f>
        <v>#REF!</v>
      </c>
      <c r="J4" s="58"/>
      <c r="K4" s="55" t="e">
        <f>HLOOKUP(B4,#REF!,11,FALSE)/1000</f>
        <v>#REF!</v>
      </c>
      <c r="L4" s="55" t="e">
        <f>HLOOKUP(B4,#REF!,15,FALSE)/1000</f>
        <v>#REF!</v>
      </c>
      <c r="M4" s="58" t="e">
        <f>100*(K4-L4)/K4</f>
        <v>#REF!</v>
      </c>
      <c r="N4" s="58">
        <v>71.212797001739787</v>
      </c>
      <c r="O4" s="58">
        <v>150.71977832437025</v>
      </c>
      <c r="P4" s="58">
        <v>238.32832106191023</v>
      </c>
      <c r="Q4" s="3">
        <v>4205271785</v>
      </c>
      <c r="U4" s="33" t="e">
        <f>C4/G4-1</f>
        <v>#REF!</v>
      </c>
      <c r="V4" s="33" t="e">
        <f>G4/K4-1</f>
        <v>#REF!</v>
      </c>
    </row>
    <row r="5" spans="1:22" x14ac:dyDescent="0.25">
      <c r="A5" s="32"/>
      <c r="B5" s="54" t="s">
        <v>41</v>
      </c>
      <c r="C5" s="55" t="e">
        <f>HLOOKUP(B5,#REF!,13,FALSE)/1000</f>
        <v>#REF!</v>
      </c>
      <c r="D5" s="55" t="e">
        <f>HLOOKUP(B5,#REF!,17,FALSE)/1000</f>
        <v>#REF!</v>
      </c>
      <c r="E5" s="58" t="e">
        <f t="shared" ref="E5:E27" si="0">100*(C5-D5)/C5</f>
        <v>#REF!</v>
      </c>
      <c r="F5" s="58">
        <v>72.863223019992105</v>
      </c>
      <c r="G5" s="58" t="e">
        <f>HLOOKUP(B5,#REF!,12,FALSE)/1000</f>
        <v>#REF!</v>
      </c>
      <c r="H5" s="58" t="e">
        <f>HLOOKUP(B5,#REF!,16,FALSE)/1000</f>
        <v>#REF!</v>
      </c>
      <c r="I5" s="58" t="e">
        <f t="shared" ref="I5:I27" si="1">100*(G5-H5)/G5</f>
        <v>#REF!</v>
      </c>
      <c r="J5" s="58"/>
      <c r="K5" s="55" t="e">
        <f>HLOOKUP(B5,#REF!,11,FALSE)/1000</f>
        <v>#REF!</v>
      </c>
      <c r="L5" s="55" t="e">
        <f>HLOOKUP(B5,#REF!,15,FALSE)/1000</f>
        <v>#REF!</v>
      </c>
      <c r="M5" s="58" t="e">
        <f t="shared" ref="M5:M27" si="2">100*(K5-L5)/K5</f>
        <v>#REF!</v>
      </c>
      <c r="N5" s="58">
        <v>66.417156099346229</v>
      </c>
      <c r="O5" s="58">
        <v>121.12747587607925</v>
      </c>
      <c r="P5" s="58">
        <v>73.238497734972825</v>
      </c>
      <c r="Q5" s="3">
        <v>7704784072</v>
      </c>
      <c r="U5" s="33" t="e">
        <f t="shared" ref="U5:U27" si="3">C5/G5-1</f>
        <v>#REF!</v>
      </c>
      <c r="V5" s="33" t="e">
        <f t="shared" ref="V5:V27" si="4">G5/K5-1</f>
        <v>#REF!</v>
      </c>
    </row>
    <row r="6" spans="1:22" s="4" customFormat="1" x14ac:dyDescent="0.25">
      <c r="A6" s="32"/>
      <c r="B6" s="69" t="s">
        <v>40</v>
      </c>
      <c r="C6" s="55" t="e">
        <f>HLOOKUP(B6,#REF!,13,FALSE)/1000</f>
        <v>#REF!</v>
      </c>
      <c r="D6" s="55" t="e">
        <f>HLOOKUP(B6,#REF!,17,FALSE)/1000</f>
        <v>#REF!</v>
      </c>
      <c r="E6" s="58" t="e">
        <f t="shared" si="0"/>
        <v>#REF!</v>
      </c>
      <c r="F6" s="62" t="s">
        <v>5</v>
      </c>
      <c r="G6" s="58" t="e">
        <f>HLOOKUP(B6,#REF!,12,FALSE)/1000</f>
        <v>#REF!</v>
      </c>
      <c r="H6" s="58" t="e">
        <f>HLOOKUP(B6,#REF!,16,FALSE)/1000</f>
        <v>#REF!</v>
      </c>
      <c r="I6" s="58" t="e">
        <f t="shared" si="1"/>
        <v>#REF!</v>
      </c>
      <c r="J6" s="62"/>
      <c r="K6" s="55" t="e">
        <f>HLOOKUP(B6,#REF!,11,FALSE)/1000</f>
        <v>#REF!</v>
      </c>
      <c r="L6" s="55" t="e">
        <f>HLOOKUP(B6,#REF!,15,FALSE)/1000</f>
        <v>#REF!</v>
      </c>
      <c r="M6" s="58" t="e">
        <f t="shared" si="2"/>
        <v>#REF!</v>
      </c>
      <c r="N6" s="62" t="s">
        <v>5</v>
      </c>
      <c r="O6" s="70">
        <v>-15.881538473461321</v>
      </c>
      <c r="P6" s="62" t="s">
        <v>5</v>
      </c>
      <c r="Q6" s="71" t="s">
        <v>114</v>
      </c>
      <c r="U6" s="45" t="e">
        <f t="shared" si="3"/>
        <v>#REF!</v>
      </c>
      <c r="V6" s="45" t="e">
        <f t="shared" si="4"/>
        <v>#REF!</v>
      </c>
    </row>
    <row r="7" spans="1:22" s="4" customFormat="1" x14ac:dyDescent="0.25">
      <c r="A7" s="32"/>
      <c r="B7" s="69" t="s">
        <v>42</v>
      </c>
      <c r="C7" s="55" t="e">
        <f>HLOOKUP(B7,#REF!,13,FALSE)/1000</f>
        <v>#REF!</v>
      </c>
      <c r="D7" s="55" t="e">
        <f>HLOOKUP(B7,#REF!,17,FALSE)/1000</f>
        <v>#REF!</v>
      </c>
      <c r="E7" s="58" t="e">
        <f t="shared" si="0"/>
        <v>#REF!</v>
      </c>
      <c r="F7" s="62"/>
      <c r="G7" s="58" t="e">
        <f>HLOOKUP(B7,#REF!,12,FALSE)/1000</f>
        <v>#REF!</v>
      </c>
      <c r="H7" s="58" t="e">
        <f>HLOOKUP(B7,#REF!,16,FALSE)/1000</f>
        <v>#REF!</v>
      </c>
      <c r="I7" s="58" t="e">
        <f t="shared" si="1"/>
        <v>#REF!</v>
      </c>
      <c r="J7" s="62"/>
      <c r="K7" s="55" t="e">
        <f>HLOOKUP(B7,#REF!,11,FALSE)/1000</f>
        <v>#REF!</v>
      </c>
      <c r="L7" s="55" t="e">
        <f>HLOOKUP(B7,#REF!,15,FALSE)/1000</f>
        <v>#REF!</v>
      </c>
      <c r="M7" s="58" t="e">
        <f t="shared" si="2"/>
        <v>#REF!</v>
      </c>
      <c r="N7" s="62"/>
      <c r="O7" s="70"/>
      <c r="P7" s="62"/>
      <c r="Q7" s="71"/>
      <c r="U7" s="45" t="e">
        <f t="shared" si="3"/>
        <v>#REF!</v>
      </c>
      <c r="V7" s="45" t="e">
        <f t="shared" si="4"/>
        <v>#REF!</v>
      </c>
    </row>
    <row r="8" spans="1:22" x14ac:dyDescent="0.25">
      <c r="A8" s="32"/>
      <c r="B8" s="54" t="s">
        <v>32</v>
      </c>
      <c r="C8" s="55" t="e">
        <f>HLOOKUP(B8,#REF!,13,FALSE)/1000</f>
        <v>#REF!</v>
      </c>
      <c r="D8" s="55" t="e">
        <f>HLOOKUP(B8,#REF!,17,FALSE)/1000</f>
        <v>#REF!</v>
      </c>
      <c r="E8" s="58" t="e">
        <f t="shared" si="0"/>
        <v>#REF!</v>
      </c>
      <c r="F8" s="58">
        <v>49.166728136036255</v>
      </c>
      <c r="G8" s="58" t="e">
        <f>HLOOKUP(B8,#REF!,12,FALSE)/1000</f>
        <v>#REF!</v>
      </c>
      <c r="H8" s="58" t="e">
        <f>HLOOKUP(B8,#REF!,16,FALSE)/1000</f>
        <v>#REF!</v>
      </c>
      <c r="I8" s="58" t="e">
        <f t="shared" si="1"/>
        <v>#REF!</v>
      </c>
      <c r="J8" s="58"/>
      <c r="K8" s="55" t="e">
        <f>HLOOKUP(B8,#REF!,11,FALSE)/1000</f>
        <v>#REF!</v>
      </c>
      <c r="L8" s="55" t="e">
        <f>HLOOKUP(B8,#REF!,15,FALSE)/1000</f>
        <v>#REF!</v>
      </c>
      <c r="M8" s="58" t="e">
        <f t="shared" si="2"/>
        <v>#REF!</v>
      </c>
      <c r="N8" s="58">
        <v>40.767542349687027</v>
      </c>
      <c r="O8" s="58">
        <v>7.8119595529400732</v>
      </c>
      <c r="P8" s="58">
        <v>-3</v>
      </c>
      <c r="Q8" s="3">
        <v>7325081622</v>
      </c>
      <c r="U8" s="45" t="e">
        <f t="shared" si="3"/>
        <v>#REF!</v>
      </c>
      <c r="V8" s="45" t="e">
        <f t="shared" si="4"/>
        <v>#REF!</v>
      </c>
    </row>
    <row r="9" spans="1:22" x14ac:dyDescent="0.25">
      <c r="A9" s="32"/>
      <c r="B9" s="54" t="s">
        <v>36</v>
      </c>
      <c r="C9" s="55" t="e">
        <f>HLOOKUP(B9,#REF!,13,FALSE)/1000</f>
        <v>#REF!</v>
      </c>
      <c r="D9" s="55" t="e">
        <f>HLOOKUP(B9,#REF!,17,FALSE)/1000</f>
        <v>#REF!</v>
      </c>
      <c r="E9" s="58" t="e">
        <f t="shared" si="0"/>
        <v>#REF!</v>
      </c>
      <c r="F9" s="58">
        <v>62.597497812698236</v>
      </c>
      <c r="G9" s="58" t="e">
        <f>HLOOKUP(B9,#REF!,12,FALSE)/1000</f>
        <v>#REF!</v>
      </c>
      <c r="H9" s="58" t="e">
        <f>HLOOKUP(B9,#REF!,16,FALSE)/1000</f>
        <v>#REF!</v>
      </c>
      <c r="I9" s="58" t="e">
        <f t="shared" si="1"/>
        <v>#REF!</v>
      </c>
      <c r="J9" s="58"/>
      <c r="K9" s="55" t="e">
        <f>HLOOKUP(B9,#REF!,11,FALSE)/1000</f>
        <v>#REF!</v>
      </c>
      <c r="L9" s="55" t="e">
        <f>HLOOKUP(B9,#REF!,15,FALSE)/1000</f>
        <v>#REF!</v>
      </c>
      <c r="M9" s="58" t="e">
        <f t="shared" si="2"/>
        <v>#REF!</v>
      </c>
      <c r="N9" s="58">
        <v>62.183254003029155</v>
      </c>
      <c r="O9" s="58">
        <v>39.723174252564483</v>
      </c>
      <c r="P9" s="58">
        <v>44.358390122218026</v>
      </c>
      <c r="Q9" s="3">
        <v>7733812126</v>
      </c>
      <c r="U9" s="45" t="e">
        <f t="shared" si="3"/>
        <v>#REF!</v>
      </c>
      <c r="V9" s="45" t="e">
        <f t="shared" si="4"/>
        <v>#REF!</v>
      </c>
    </row>
    <row r="10" spans="1:22" x14ac:dyDescent="0.25">
      <c r="A10" s="32"/>
      <c r="B10" s="54" t="s">
        <v>39</v>
      </c>
      <c r="C10" s="55" t="e">
        <f>HLOOKUP(B10,#REF!,13,FALSE)/1000</f>
        <v>#REF!</v>
      </c>
      <c r="D10" s="55" t="e">
        <f>HLOOKUP(B10,#REF!,17,FALSE)/1000</f>
        <v>#REF!</v>
      </c>
      <c r="E10" s="58" t="e">
        <f t="shared" si="0"/>
        <v>#REF!</v>
      </c>
      <c r="F10" s="58">
        <v>80.341505601255008</v>
      </c>
      <c r="G10" s="58" t="e">
        <f>HLOOKUP(B10,#REF!,12,FALSE)/1000</f>
        <v>#REF!</v>
      </c>
      <c r="H10" s="58" t="e">
        <f>HLOOKUP(B10,#REF!,16,FALSE)/1000</f>
        <v>#REF!</v>
      </c>
      <c r="I10" s="58" t="e">
        <f t="shared" si="1"/>
        <v>#REF!</v>
      </c>
      <c r="J10" s="58"/>
      <c r="K10" s="55" t="e">
        <f>HLOOKUP(B10,#REF!,11,FALSE)/1000</f>
        <v>#REF!</v>
      </c>
      <c r="L10" s="55" t="e">
        <f>HLOOKUP(B10,#REF!,15,FALSE)/1000</f>
        <v>#REF!</v>
      </c>
      <c r="M10" s="58" t="e">
        <f t="shared" si="2"/>
        <v>#REF!</v>
      </c>
      <c r="N10" s="58">
        <v>64.551239323847099</v>
      </c>
      <c r="O10" s="58">
        <v>105.84740605192451</v>
      </c>
      <c r="P10" s="58">
        <v>63.235340186439082</v>
      </c>
      <c r="Q10" s="3" t="s">
        <v>111</v>
      </c>
      <c r="U10" s="33" t="e">
        <f t="shared" si="3"/>
        <v>#REF!</v>
      </c>
      <c r="V10" s="33" t="e">
        <f t="shared" si="4"/>
        <v>#REF!</v>
      </c>
    </row>
    <row r="11" spans="1:22" x14ac:dyDescent="0.25">
      <c r="A11" s="32"/>
      <c r="B11" s="54" t="s">
        <v>10</v>
      </c>
      <c r="C11" s="55" t="e">
        <f>HLOOKUP(B11,#REF!,13,FALSE)/1000</f>
        <v>#REF!</v>
      </c>
      <c r="D11" s="55" t="e">
        <f>HLOOKUP(B11,#REF!,17,FALSE)/1000</f>
        <v>#REF!</v>
      </c>
      <c r="E11" s="58" t="e">
        <f t="shared" si="0"/>
        <v>#REF!</v>
      </c>
      <c r="F11" s="58">
        <v>69.9748743718593</v>
      </c>
      <c r="G11" s="58" t="e">
        <f>HLOOKUP(B11,#REF!,12,FALSE)/1000</f>
        <v>#REF!</v>
      </c>
      <c r="H11" s="58" t="e">
        <f>HLOOKUP(B11,#REF!,16,FALSE)/1000</f>
        <v>#REF!</v>
      </c>
      <c r="I11" s="58" t="e">
        <f t="shared" si="1"/>
        <v>#REF!</v>
      </c>
      <c r="J11" s="58"/>
      <c r="K11" s="55" t="e">
        <f>HLOOKUP(B11,#REF!,11,FALSE)/1000</f>
        <v>#REF!</v>
      </c>
      <c r="L11" s="55" t="e">
        <f>HLOOKUP(B11,#REF!,15,FALSE)/1000</f>
        <v>#REF!</v>
      </c>
      <c r="M11" s="58" t="e">
        <f t="shared" si="2"/>
        <v>#REF!</v>
      </c>
      <c r="N11" s="58">
        <v>70.042194092827003</v>
      </c>
      <c r="O11" s="58" t="e">
        <f>100*(C11/K11-1)</f>
        <v>#REF!</v>
      </c>
      <c r="P11" s="58" t="e">
        <f>100*(D11/L11-1)</f>
        <v>#REF!</v>
      </c>
      <c r="Q11" s="3">
        <v>5260271530</v>
      </c>
      <c r="U11" s="45" t="e">
        <f t="shared" si="3"/>
        <v>#REF!</v>
      </c>
      <c r="V11" s="45" t="e">
        <f t="shared" si="4"/>
        <v>#REF!</v>
      </c>
    </row>
    <row r="12" spans="1:22" x14ac:dyDescent="0.25">
      <c r="A12" s="32"/>
      <c r="B12" s="54" t="s">
        <v>11</v>
      </c>
      <c r="C12" s="55" t="e">
        <f>HLOOKUP(B12,#REF!,13,FALSE)/1000</f>
        <v>#REF!</v>
      </c>
      <c r="D12" s="55" t="e">
        <f>HLOOKUP(B12,#REF!,17,FALSE)/1000</f>
        <v>#REF!</v>
      </c>
      <c r="E12" s="58" t="e">
        <f t="shared" si="0"/>
        <v>#REF!</v>
      </c>
      <c r="F12" s="58">
        <v>81.418570016075734</v>
      </c>
      <c r="G12" s="58" t="e">
        <f>HLOOKUP(B12,#REF!,12,FALSE)/1000</f>
        <v>#REF!</v>
      </c>
      <c r="H12" s="58" t="e">
        <f>HLOOKUP(B12,#REF!,16,FALSE)/1000</f>
        <v>#REF!</v>
      </c>
      <c r="I12" s="58" t="e">
        <f t="shared" si="1"/>
        <v>#REF!</v>
      </c>
      <c r="J12" s="58"/>
      <c r="K12" s="55" t="e">
        <f>HLOOKUP(B12,#REF!,11,FALSE)/1000</f>
        <v>#REF!</v>
      </c>
      <c r="L12" s="55" t="e">
        <f>HLOOKUP(B12,#REF!,15,FALSE)/1000</f>
        <v>#REF!</v>
      </c>
      <c r="M12" s="58" t="e">
        <f t="shared" si="2"/>
        <v>#REF!</v>
      </c>
      <c r="N12" s="58">
        <v>68.687242940955386</v>
      </c>
      <c r="O12" s="58">
        <v>93.8343147002455</v>
      </c>
      <c r="P12" s="58">
        <v>38.401271271988378</v>
      </c>
      <c r="Q12" s="3">
        <v>5407264020</v>
      </c>
      <c r="U12" s="45" t="e">
        <f t="shared" si="3"/>
        <v>#REF!</v>
      </c>
      <c r="V12" s="45" t="e">
        <f t="shared" si="4"/>
        <v>#REF!</v>
      </c>
    </row>
    <row r="13" spans="1:22" x14ac:dyDescent="0.25">
      <c r="A13" s="32"/>
      <c r="B13" s="54" t="s">
        <v>47</v>
      </c>
      <c r="C13" s="55" t="e">
        <f>HLOOKUP(B13,#REF!,13,FALSE)/1000</f>
        <v>#REF!</v>
      </c>
      <c r="D13" s="55" t="e">
        <f>HLOOKUP(B13,#REF!,17,FALSE)/1000</f>
        <v>#REF!</v>
      </c>
      <c r="E13" s="58" t="e">
        <f t="shared" si="0"/>
        <v>#REF!</v>
      </c>
      <c r="F13" s="58">
        <v>52.925837084032167</v>
      </c>
      <c r="G13" s="58" t="e">
        <f>HLOOKUP(B13,#REF!,12,FALSE)/1000</f>
        <v>#REF!</v>
      </c>
      <c r="H13" s="58" t="e">
        <f>HLOOKUP(B13,#REF!,16,FALSE)/1000</f>
        <v>#REF!</v>
      </c>
      <c r="I13" s="58" t="e">
        <f t="shared" si="1"/>
        <v>#REF!</v>
      </c>
      <c r="J13" s="58"/>
      <c r="K13" s="55" t="e">
        <f>HLOOKUP(B13,#REF!,11,FALSE)/1000</f>
        <v>#REF!</v>
      </c>
      <c r="L13" s="55" t="e">
        <f>HLOOKUP(B13,#REF!,15,FALSE)/1000</f>
        <v>#REF!</v>
      </c>
      <c r="M13" s="58" t="e">
        <f t="shared" si="2"/>
        <v>#REF!</v>
      </c>
      <c r="N13" s="58">
        <v>59.09245339109016</v>
      </c>
      <c r="O13" s="58">
        <v>383.1861100494047</v>
      </c>
      <c r="P13" s="58">
        <v>495.19784509263962</v>
      </c>
      <c r="Q13" s="3">
        <v>7838500558</v>
      </c>
      <c r="U13" s="33" t="e">
        <f t="shared" si="3"/>
        <v>#REF!</v>
      </c>
      <c r="V13" s="33" t="e">
        <f t="shared" si="4"/>
        <v>#REF!</v>
      </c>
    </row>
    <row r="14" spans="1:22" x14ac:dyDescent="0.25">
      <c r="A14" s="32"/>
      <c r="B14" s="54" t="s">
        <v>13</v>
      </c>
      <c r="C14" s="55" t="e">
        <f>HLOOKUP(B14,#REF!,13,FALSE)/1000</f>
        <v>#REF!</v>
      </c>
      <c r="D14" s="55" t="e">
        <f>HLOOKUP(B14,#REF!,17,FALSE)/1000</f>
        <v>#REF!</v>
      </c>
      <c r="E14" s="58" t="e">
        <f t="shared" si="0"/>
        <v>#REF!</v>
      </c>
      <c r="F14" s="58">
        <v>67.022619001295212</v>
      </c>
      <c r="G14" s="58" t="e">
        <f>HLOOKUP(B14,#REF!,12,FALSE)/1000</f>
        <v>#REF!</v>
      </c>
      <c r="H14" s="58" t="e">
        <f>HLOOKUP(B14,#REF!,16,FALSE)/1000</f>
        <v>#REF!</v>
      </c>
      <c r="I14" s="58" t="e">
        <f t="shared" si="1"/>
        <v>#REF!</v>
      </c>
      <c r="J14" s="58"/>
      <c r="K14" s="55" t="e">
        <f>HLOOKUP(B14,#REF!,11,FALSE)/1000</f>
        <v>#REF!</v>
      </c>
      <c r="L14" s="55" t="e">
        <f>HLOOKUP(B14,#REF!,15,FALSE)/1000</f>
        <v>#REF!</v>
      </c>
      <c r="M14" s="58" t="e">
        <f t="shared" si="2"/>
        <v>#REF!</v>
      </c>
      <c r="N14" s="58">
        <v>48.879001384703102</v>
      </c>
      <c r="O14" s="58">
        <v>37.37043862507128</v>
      </c>
      <c r="P14" s="58">
        <v>9.9078782390638054</v>
      </c>
      <c r="Q14" s="3">
        <v>7715450868</v>
      </c>
      <c r="U14" s="45" t="e">
        <f t="shared" si="3"/>
        <v>#REF!</v>
      </c>
      <c r="V14" s="45" t="e">
        <f t="shared" si="4"/>
        <v>#REF!</v>
      </c>
    </row>
    <row r="15" spans="1:22" x14ac:dyDescent="0.25">
      <c r="A15" s="32"/>
      <c r="B15" s="54" t="s">
        <v>9</v>
      </c>
      <c r="C15" s="55" t="e">
        <f>HLOOKUP(B15,#REF!,13,FALSE)/1000</f>
        <v>#REF!</v>
      </c>
      <c r="D15" s="55" t="e">
        <f>HLOOKUP(B15,#REF!,17,FALSE)/1000</f>
        <v>#REF!</v>
      </c>
      <c r="E15" s="58" t="e">
        <f t="shared" si="0"/>
        <v>#REF!</v>
      </c>
      <c r="F15" s="58">
        <v>53.262430254474701</v>
      </c>
      <c r="G15" s="58" t="e">
        <f>HLOOKUP(B15,#REF!,12,FALSE)/1000</f>
        <v>#REF!</v>
      </c>
      <c r="H15" s="58" t="e">
        <f>HLOOKUP(B15,#REF!,16,FALSE)/1000</f>
        <v>#REF!</v>
      </c>
      <c r="I15" s="58" t="e">
        <f t="shared" si="1"/>
        <v>#REF!</v>
      </c>
      <c r="J15" s="58"/>
      <c r="K15" s="55" t="e">
        <f>HLOOKUP(B15,#REF!,11,FALSE)/1000</f>
        <v>#REF!</v>
      </c>
      <c r="L15" s="55" t="e">
        <f>HLOOKUP(B15,#REF!,15,FALSE)/1000</f>
        <v>#REF!</v>
      </c>
      <c r="M15" s="58" t="e">
        <f t="shared" si="2"/>
        <v>#REF!</v>
      </c>
      <c r="N15" s="58">
        <v>83.377081298544255</v>
      </c>
      <c r="O15" s="58">
        <v>-68.923974466303889</v>
      </c>
      <c r="P15" s="58">
        <v>-15.972514409404514</v>
      </c>
      <c r="Q15" s="3">
        <v>5501246928</v>
      </c>
      <c r="U15" s="45" t="e">
        <f t="shared" si="3"/>
        <v>#REF!</v>
      </c>
      <c r="V15" s="45" t="e">
        <f t="shared" si="4"/>
        <v>#REF!</v>
      </c>
    </row>
    <row r="16" spans="1:22" x14ac:dyDescent="0.25">
      <c r="A16" s="32"/>
      <c r="B16" s="54" t="s">
        <v>34</v>
      </c>
      <c r="C16" s="55" t="e">
        <f>HLOOKUP(B16,#REF!,13,FALSE)/1000</f>
        <v>#REF!</v>
      </c>
      <c r="D16" s="55" t="e">
        <f>HLOOKUP(B16,#REF!,17,FALSE)/1000</f>
        <v>#REF!</v>
      </c>
      <c r="E16" s="58" t="e">
        <f t="shared" si="0"/>
        <v>#REF!</v>
      </c>
      <c r="F16" s="58">
        <v>53.714844903560532</v>
      </c>
      <c r="G16" s="58" t="e">
        <f>HLOOKUP(B16,#REF!,12,FALSE)/1000</f>
        <v>#REF!</v>
      </c>
      <c r="H16" s="58" t="e">
        <f>HLOOKUP(B16,#REF!,16,FALSE)/1000</f>
        <v>#REF!</v>
      </c>
      <c r="I16" s="58" t="e">
        <f t="shared" si="1"/>
        <v>#REF!</v>
      </c>
      <c r="J16" s="58"/>
      <c r="K16" s="55" t="e">
        <f>HLOOKUP(B16,#REF!,11,FALSE)/1000</f>
        <v>#REF!</v>
      </c>
      <c r="L16" s="55" t="e">
        <f>HLOOKUP(B16,#REF!,15,FALSE)/1000</f>
        <v>#REF!</v>
      </c>
      <c r="M16" s="58" t="e">
        <f t="shared" si="2"/>
        <v>#REF!</v>
      </c>
      <c r="N16" s="58">
        <v>71.106669732397108</v>
      </c>
      <c r="O16" s="58">
        <v>510.90220909460731</v>
      </c>
      <c r="P16" s="58">
        <v>682.32370394915199</v>
      </c>
      <c r="Q16" s="3">
        <v>2722103753</v>
      </c>
      <c r="U16" s="45" t="e">
        <f t="shared" si="3"/>
        <v>#REF!</v>
      </c>
      <c r="V16" s="45" t="e">
        <f t="shared" si="4"/>
        <v>#REF!</v>
      </c>
    </row>
    <row r="17" spans="1:22" x14ac:dyDescent="0.25">
      <c r="A17" s="32"/>
      <c r="B17" s="54" t="s">
        <v>43</v>
      </c>
      <c r="C17" s="55" t="e">
        <f>HLOOKUP(B17,#REF!,13,FALSE)/1000</f>
        <v>#REF!</v>
      </c>
      <c r="D17" s="55" t="e">
        <f>HLOOKUP(B17,#REF!,17,FALSE)/1000</f>
        <v>#REF!</v>
      </c>
      <c r="E17" s="58" t="e">
        <f t="shared" si="0"/>
        <v>#REF!</v>
      </c>
      <c r="F17" s="58">
        <v>71.151284010330173</v>
      </c>
      <c r="G17" s="58" t="e">
        <f>HLOOKUP(B17,#REF!,12,FALSE)/1000</f>
        <v>#REF!</v>
      </c>
      <c r="H17" s="58" t="e">
        <f>HLOOKUP(B17,#REF!,16,FALSE)/1000</f>
        <v>#REF!</v>
      </c>
      <c r="I17" s="58" t="e">
        <f t="shared" si="1"/>
        <v>#REF!</v>
      </c>
      <c r="J17" s="58"/>
      <c r="K17" s="55" t="e">
        <f>HLOOKUP(B17,#REF!,11,FALSE)/1000</f>
        <v>#REF!</v>
      </c>
      <c r="L17" s="55" t="e">
        <f>HLOOKUP(B17,#REF!,15,FALSE)/1000</f>
        <v>#REF!</v>
      </c>
      <c r="M17" s="58" t="e">
        <f t="shared" si="2"/>
        <v>#REF!</v>
      </c>
      <c r="N17" s="58">
        <v>76.875401736763166</v>
      </c>
      <c r="O17" s="58">
        <v>-0.19850522415335581</v>
      </c>
      <c r="P17" s="58">
        <v>31.364009655824599</v>
      </c>
      <c r="Q17" s="3">
        <v>7705974076</v>
      </c>
      <c r="U17" s="45" t="e">
        <f t="shared" si="3"/>
        <v>#REF!</v>
      </c>
      <c r="V17" s="45" t="e">
        <f t="shared" si="4"/>
        <v>#REF!</v>
      </c>
    </row>
    <row r="18" spans="1:22" x14ac:dyDescent="0.25">
      <c r="A18" s="32"/>
      <c r="B18" s="54" t="s">
        <v>38</v>
      </c>
      <c r="C18" s="55" t="e">
        <f>HLOOKUP(B18,#REF!,13,FALSE)/1000</f>
        <v>#REF!</v>
      </c>
      <c r="D18" s="55" t="e">
        <f>HLOOKUP(B18,#REF!,17,FALSE)/1000</f>
        <v>#REF!</v>
      </c>
      <c r="E18" s="58" t="e">
        <f t="shared" si="0"/>
        <v>#REF!</v>
      </c>
      <c r="F18" s="58">
        <v>78.822204953473999</v>
      </c>
      <c r="G18" s="58" t="e">
        <f>HLOOKUP(B18,#REF!,12,FALSE)/1000</f>
        <v>#REF!</v>
      </c>
      <c r="H18" s="58" t="e">
        <f>HLOOKUP(B18,#REF!,16,FALSE)/1000</f>
        <v>#REF!</v>
      </c>
      <c r="I18" s="58" t="e">
        <f t="shared" si="1"/>
        <v>#REF!</v>
      </c>
      <c r="J18" s="58"/>
      <c r="K18" s="55" t="e">
        <f>HLOOKUP(B18,#REF!,11,FALSE)/1000</f>
        <v>#REF!</v>
      </c>
      <c r="L18" s="55" t="e">
        <f>HLOOKUP(B18,#REF!,15,FALSE)/1000</f>
        <v>#REF!</v>
      </c>
      <c r="M18" s="58" t="e">
        <f t="shared" si="2"/>
        <v>#REF!</v>
      </c>
      <c r="N18" s="58">
        <v>63.762094369746279</v>
      </c>
      <c r="O18" s="58">
        <v>189.6127878123377</v>
      </c>
      <c r="P18" s="58">
        <v>82.348572904558949</v>
      </c>
      <c r="Q18" s="3">
        <v>5260355389</v>
      </c>
      <c r="U18" s="45" t="e">
        <f t="shared" si="3"/>
        <v>#REF!</v>
      </c>
      <c r="V18" s="45" t="e">
        <f t="shared" si="4"/>
        <v>#REF!</v>
      </c>
    </row>
    <row r="19" spans="1:22" x14ac:dyDescent="0.25">
      <c r="A19" s="32"/>
      <c r="B19" s="54" t="s">
        <v>45</v>
      </c>
      <c r="C19" s="55" t="e">
        <f>HLOOKUP(B19,#REF!,13,FALSE)/1000</f>
        <v>#REF!</v>
      </c>
      <c r="D19" s="55" t="e">
        <f>HLOOKUP(B19,#REF!,17,FALSE)/1000</f>
        <v>#REF!</v>
      </c>
      <c r="E19" s="58" t="e">
        <f t="shared" si="0"/>
        <v>#REF!</v>
      </c>
      <c r="F19" s="58">
        <v>78.933548016393601</v>
      </c>
      <c r="G19" s="58" t="e">
        <f>HLOOKUP(B19,#REF!,12,FALSE)/1000</f>
        <v>#REF!</v>
      </c>
      <c r="H19" s="58" t="e">
        <f>HLOOKUP(B19,#REF!,16,FALSE)/1000</f>
        <v>#REF!</v>
      </c>
      <c r="I19" s="58" t="e">
        <f t="shared" si="1"/>
        <v>#REF!</v>
      </c>
      <c r="J19" s="58"/>
      <c r="K19" s="55" t="e">
        <f>HLOOKUP(B19,#REF!,11,FALSE)/1000</f>
        <v>#REF!</v>
      </c>
      <c r="L19" s="55" t="e">
        <f>HLOOKUP(B19,#REF!,15,FALSE)/1000</f>
        <v>#REF!</v>
      </c>
      <c r="M19" s="58" t="e">
        <f t="shared" si="2"/>
        <v>#REF!</v>
      </c>
      <c r="N19" s="58">
        <v>71.024373033170775</v>
      </c>
      <c r="O19" s="58">
        <v>17.887897228555282</v>
      </c>
      <c r="P19" s="58">
        <v>-3.9079339653036449</v>
      </c>
      <c r="Q19" s="3" t="s">
        <v>12</v>
      </c>
      <c r="U19" s="45" t="e">
        <f t="shared" si="3"/>
        <v>#REF!</v>
      </c>
      <c r="V19" s="45" t="e">
        <f t="shared" si="4"/>
        <v>#REF!</v>
      </c>
    </row>
    <row r="20" spans="1:22" x14ac:dyDescent="0.25">
      <c r="A20" s="32"/>
      <c r="B20" s="54" t="s">
        <v>37</v>
      </c>
      <c r="C20" s="55" t="e">
        <f>HLOOKUP(B20,#REF!,13,FALSE)/1000</f>
        <v>#REF!</v>
      </c>
      <c r="D20" s="55" t="e">
        <f>HLOOKUP(B20,#REF!,17,FALSE)/1000</f>
        <v>#REF!</v>
      </c>
      <c r="E20" s="58" t="e">
        <f t="shared" si="0"/>
        <v>#REF!</v>
      </c>
      <c r="F20" s="58"/>
      <c r="G20" s="58" t="e">
        <f>HLOOKUP(B20,#REF!,12,FALSE)/1000</f>
        <v>#REF!</v>
      </c>
      <c r="H20" s="58" t="e">
        <f>HLOOKUP(B20,#REF!,16,FALSE)/1000</f>
        <v>#REF!</v>
      </c>
      <c r="I20" s="58" t="e">
        <f t="shared" si="1"/>
        <v>#REF!</v>
      </c>
      <c r="J20" s="58"/>
      <c r="K20" s="55" t="e">
        <f>HLOOKUP(B20,#REF!,11,FALSE)/1000</f>
        <v>#REF!</v>
      </c>
      <c r="L20" s="55" t="e">
        <f>HLOOKUP(B20,#REF!,15,FALSE)/1000</f>
        <v>#REF!</v>
      </c>
      <c r="M20" s="58" t="e">
        <f t="shared" si="2"/>
        <v>#REF!</v>
      </c>
      <c r="N20" s="58"/>
      <c r="O20" s="58"/>
      <c r="P20" s="58"/>
      <c r="U20" s="45" t="e">
        <f t="shared" si="3"/>
        <v>#REF!</v>
      </c>
      <c r="V20" s="45" t="e">
        <f t="shared" si="4"/>
        <v>#REF!</v>
      </c>
    </row>
    <row r="21" spans="1:22" x14ac:dyDescent="0.25">
      <c r="A21" s="32"/>
      <c r="B21" s="54" t="s">
        <v>14</v>
      </c>
      <c r="C21" s="55" t="e">
        <f>HLOOKUP(B21,#REF!,13,FALSE)/1000</f>
        <v>#REF!</v>
      </c>
      <c r="D21" s="55" t="e">
        <f>HLOOKUP(B21,#REF!,17,FALSE)/1000</f>
        <v>#REF!</v>
      </c>
      <c r="E21" s="58" t="e">
        <f t="shared" si="0"/>
        <v>#REF!</v>
      </c>
      <c r="F21" s="58">
        <v>72.741563152687704</v>
      </c>
      <c r="G21" s="58" t="e">
        <f>HLOOKUP(B21,#REF!,12,FALSE)/1000</f>
        <v>#REF!</v>
      </c>
      <c r="H21" s="58" t="e">
        <f>HLOOKUP(B21,#REF!,16,FALSE)/1000</f>
        <v>#REF!</v>
      </c>
      <c r="I21" s="58" t="e">
        <f t="shared" si="1"/>
        <v>#REF!</v>
      </c>
      <c r="J21" s="58"/>
      <c r="K21" s="55" t="e">
        <f>HLOOKUP(B21,#REF!,11,FALSE)/1000</f>
        <v>#REF!</v>
      </c>
      <c r="L21" s="55" t="e">
        <f>HLOOKUP(B21,#REF!,15,FALSE)/1000</f>
        <v>#REF!</v>
      </c>
      <c r="M21" s="58" t="e">
        <f t="shared" si="2"/>
        <v>#REF!</v>
      </c>
      <c r="N21" s="58">
        <v>54.615830476171801</v>
      </c>
      <c r="O21" s="58">
        <v>-10.630605849240105</v>
      </c>
      <c r="P21" s="58">
        <v>-15.156199446381713</v>
      </c>
      <c r="Q21" s="3">
        <v>7727753970</v>
      </c>
      <c r="U21" s="45" t="e">
        <f t="shared" si="3"/>
        <v>#REF!</v>
      </c>
      <c r="V21" s="45" t="e">
        <f t="shared" si="4"/>
        <v>#REF!</v>
      </c>
    </row>
    <row r="22" spans="1:22" x14ac:dyDescent="0.25">
      <c r="A22" s="32"/>
      <c r="B22" s="54" t="s">
        <v>33</v>
      </c>
      <c r="C22" s="55" t="e">
        <f>HLOOKUP(B22,#REF!,13,FALSE)/1000</f>
        <v>#REF!</v>
      </c>
      <c r="D22" s="55" t="e">
        <f>HLOOKUP(B22,#REF!,17,FALSE)/1000</f>
        <v>#REF!</v>
      </c>
      <c r="E22" s="58" t="e">
        <f t="shared" si="0"/>
        <v>#REF!</v>
      </c>
      <c r="F22" s="58">
        <v>69.004839250634859</v>
      </c>
      <c r="G22" s="58" t="e">
        <f>HLOOKUP(B22,#REF!,12,FALSE)/1000</f>
        <v>#REF!</v>
      </c>
      <c r="H22" s="58" t="e">
        <f>HLOOKUP(B22,#REF!,16,FALSE)/1000</f>
        <v>#REF!</v>
      </c>
      <c r="I22" s="58" t="e">
        <f t="shared" si="1"/>
        <v>#REF!</v>
      </c>
      <c r="J22" s="58"/>
      <c r="K22" s="55" t="e">
        <f>HLOOKUP(B22,#REF!,11,FALSE)/1000</f>
        <v>#REF!</v>
      </c>
      <c r="L22" s="55" t="e">
        <f>HLOOKUP(B22,#REF!,15,FALSE)/1000</f>
        <v>#REF!</v>
      </c>
      <c r="M22" s="58" t="e">
        <f t="shared" si="2"/>
        <v>#REF!</v>
      </c>
      <c r="N22" s="58">
        <v>79.186953493922118</v>
      </c>
      <c r="O22" s="58">
        <v>97.449588012887006</v>
      </c>
      <c r="P22" s="58">
        <v>185.38798851148539</v>
      </c>
      <c r="Q22" s="3">
        <v>5410059568</v>
      </c>
      <c r="U22" s="45" t="e">
        <f t="shared" si="3"/>
        <v>#REF!</v>
      </c>
      <c r="V22" s="45" t="e">
        <f t="shared" si="4"/>
        <v>#REF!</v>
      </c>
    </row>
    <row r="23" spans="1:22" x14ac:dyDescent="0.25">
      <c r="A23" s="32"/>
      <c r="B23" s="54" t="s">
        <v>15</v>
      </c>
      <c r="C23" s="55" t="e">
        <f>HLOOKUP(B23,#REF!,13,FALSE)/1000</f>
        <v>#REF!</v>
      </c>
      <c r="D23" s="55" t="e">
        <f>HLOOKUP(B23,#REF!,17,FALSE)/1000</f>
        <v>#REF!</v>
      </c>
      <c r="E23" s="58" t="e">
        <f t="shared" si="0"/>
        <v>#REF!</v>
      </c>
      <c r="F23" s="58">
        <v>4.4457462735142874</v>
      </c>
      <c r="G23" s="58" t="e">
        <f>HLOOKUP(B23,#REF!,12,FALSE)/1000</f>
        <v>#REF!</v>
      </c>
      <c r="H23" s="58" t="e">
        <f>HLOOKUP(B23,#REF!,16,FALSE)/1000</f>
        <v>#REF!</v>
      </c>
      <c r="I23" s="58" t="e">
        <f t="shared" si="1"/>
        <v>#REF!</v>
      </c>
      <c r="J23" s="58"/>
      <c r="K23" s="55" t="e">
        <f>HLOOKUP(B23,#REF!,11,FALSE)/1000</f>
        <v>#REF!</v>
      </c>
      <c r="L23" s="55" t="e">
        <f>HLOOKUP(B23,#REF!,15,FALSE)/1000</f>
        <v>#REF!</v>
      </c>
      <c r="M23" s="58" t="e">
        <f t="shared" si="2"/>
        <v>#REF!</v>
      </c>
      <c r="N23" s="58">
        <v>25.361721481565709</v>
      </c>
      <c r="O23" s="58">
        <v>-12.658119901077358</v>
      </c>
      <c r="P23" s="58">
        <v>-69.031141868512108</v>
      </c>
      <c r="Q23" s="3">
        <v>7715825027</v>
      </c>
      <c r="U23" s="45" t="e">
        <f t="shared" si="3"/>
        <v>#REF!</v>
      </c>
      <c r="V23" s="45" t="e">
        <f t="shared" si="4"/>
        <v>#REF!</v>
      </c>
    </row>
    <row r="24" spans="1:22" x14ac:dyDescent="0.25">
      <c r="A24" s="32"/>
      <c r="B24" s="54" t="s">
        <v>16</v>
      </c>
      <c r="C24" s="55" t="e">
        <f>HLOOKUP(B24,#REF!,13,FALSE)/1000</f>
        <v>#REF!</v>
      </c>
      <c r="D24" s="55" t="e">
        <f>HLOOKUP(B24,#REF!,17,FALSE)/1000</f>
        <v>#REF!</v>
      </c>
      <c r="E24" s="58" t="e">
        <f t="shared" si="0"/>
        <v>#REF!</v>
      </c>
      <c r="F24" s="58">
        <v>44.600233683859116</v>
      </c>
      <c r="G24" s="58" t="e">
        <f>HLOOKUP(B24,#REF!,12,FALSE)/1000</f>
        <v>#REF!</v>
      </c>
      <c r="H24" s="58" t="e">
        <f>HLOOKUP(B24,#REF!,16,FALSE)/1000</f>
        <v>#REF!</v>
      </c>
      <c r="I24" s="58" t="e">
        <f t="shared" si="1"/>
        <v>#REF!</v>
      </c>
      <c r="J24" s="58"/>
      <c r="K24" s="55" t="e">
        <f>HLOOKUP(B24,#REF!,11,FALSE)/1000</f>
        <v>#REF!</v>
      </c>
      <c r="L24" s="55" t="e">
        <f>HLOOKUP(B24,#REF!,15,FALSE)/1000</f>
        <v>#REF!</v>
      </c>
      <c r="M24" s="58" t="e">
        <f t="shared" si="2"/>
        <v>#REF!</v>
      </c>
      <c r="N24" s="58">
        <v>40.278457605917225</v>
      </c>
      <c r="O24" s="58">
        <v>30.331212269538256</v>
      </c>
      <c r="P24" s="58">
        <v>10.36008676789586</v>
      </c>
      <c r="Q24" s="3">
        <v>4205312696</v>
      </c>
      <c r="U24" s="45" t="e">
        <f t="shared" si="3"/>
        <v>#REF!</v>
      </c>
      <c r="V24" s="45" t="e">
        <f t="shared" si="4"/>
        <v>#REF!</v>
      </c>
    </row>
    <row r="25" spans="1:22" x14ac:dyDescent="0.25">
      <c r="A25" s="32"/>
      <c r="B25" s="54" t="s">
        <v>87</v>
      </c>
      <c r="C25" s="55" t="e">
        <f>HLOOKUP(B25,#REF!,13,FALSE)/1000</f>
        <v>#REF!</v>
      </c>
      <c r="D25" s="55" t="e">
        <f>HLOOKUP(B25,#REF!,17,FALSE)/1000</f>
        <v>#REF!</v>
      </c>
      <c r="E25" s="58" t="e">
        <f t="shared" si="0"/>
        <v>#REF!</v>
      </c>
      <c r="F25" s="58">
        <v>85.661468455230604</v>
      </c>
      <c r="G25" s="58" t="e">
        <f>HLOOKUP(B25,#REF!,12,FALSE)/1000</f>
        <v>#REF!</v>
      </c>
      <c r="H25" s="58" t="e">
        <f>HLOOKUP(B25,#REF!,16,FALSE)/1000</f>
        <v>#REF!</v>
      </c>
      <c r="I25" s="58" t="e">
        <f t="shared" si="1"/>
        <v>#REF!</v>
      </c>
      <c r="J25" s="58"/>
      <c r="K25" s="55" t="e">
        <f>HLOOKUP(B25,#REF!,11,FALSE)/1000</f>
        <v>#REF!</v>
      </c>
      <c r="L25" s="55" t="e">
        <f>HLOOKUP(B25,#REF!,15,FALSE)/1000</f>
        <v>#REF!</v>
      </c>
      <c r="M25" s="58" t="e">
        <f t="shared" si="2"/>
        <v>#REF!</v>
      </c>
      <c r="N25" s="58">
        <v>81.282947702100557</v>
      </c>
      <c r="O25" s="58">
        <v>34.290260980267348</v>
      </c>
      <c r="P25" s="58">
        <v>4.4990723562152057</v>
      </c>
      <c r="Q25" s="3" t="s">
        <v>18</v>
      </c>
      <c r="U25" s="45" t="e">
        <f t="shared" si="3"/>
        <v>#REF!</v>
      </c>
      <c r="V25" s="45" t="e">
        <f t="shared" si="4"/>
        <v>#REF!</v>
      </c>
    </row>
    <row r="26" spans="1:22" x14ac:dyDescent="0.25">
      <c r="A26" s="32"/>
      <c r="B26" s="54" t="s">
        <v>17</v>
      </c>
      <c r="C26" s="55" t="e">
        <f>HLOOKUP(B26,#REF!,13,FALSE)/1000</f>
        <v>#REF!</v>
      </c>
      <c r="D26" s="55" t="e">
        <f>HLOOKUP(B26,#REF!,17,FALSE)/1000</f>
        <v>#REF!</v>
      </c>
      <c r="E26" s="58" t="e">
        <f t="shared" si="0"/>
        <v>#REF!</v>
      </c>
      <c r="F26" s="58">
        <v>100</v>
      </c>
      <c r="G26" s="58" t="e">
        <f>HLOOKUP(B26,#REF!,12,FALSE)/1000</f>
        <v>#REF!</v>
      </c>
      <c r="H26" s="58" t="e">
        <f>HLOOKUP(B26,#REF!,16,FALSE)/1000</f>
        <v>#REF!</v>
      </c>
      <c r="I26" s="58" t="e">
        <f t="shared" si="1"/>
        <v>#REF!</v>
      </c>
      <c r="J26" s="58"/>
      <c r="K26" s="55" t="e">
        <f>HLOOKUP(B26,#REF!,11,FALSE)/1000</f>
        <v>#REF!</v>
      </c>
      <c r="L26" s="55" t="e">
        <f>HLOOKUP(B26,#REF!,15,FALSE)/1000</f>
        <v>#REF!</v>
      </c>
      <c r="M26" s="58" t="e">
        <f t="shared" si="2"/>
        <v>#REF!</v>
      </c>
      <c r="N26" s="58">
        <v>100</v>
      </c>
      <c r="O26" s="58">
        <v>-1.2987012987012991</v>
      </c>
      <c r="P26" s="58" t="s">
        <v>20</v>
      </c>
      <c r="Q26" s="3">
        <v>2373004749</v>
      </c>
      <c r="U26" s="45" t="e">
        <f t="shared" si="3"/>
        <v>#REF!</v>
      </c>
      <c r="V26" s="45" t="e">
        <f t="shared" si="4"/>
        <v>#REF!</v>
      </c>
    </row>
    <row r="27" spans="1:22" x14ac:dyDescent="0.25">
      <c r="A27" s="32"/>
      <c r="B27" s="54" t="s">
        <v>44</v>
      </c>
      <c r="C27" s="55" t="e">
        <f>HLOOKUP(B27,#REF!,13,FALSE)/1000</f>
        <v>#REF!</v>
      </c>
      <c r="D27" s="55" t="e">
        <f>HLOOKUP(B27,#REF!,17,FALSE)/1000</f>
        <v>#REF!</v>
      </c>
      <c r="E27" s="58" t="e">
        <f t="shared" si="0"/>
        <v>#REF!</v>
      </c>
      <c r="F27" s="58">
        <v>100</v>
      </c>
      <c r="G27" s="58" t="e">
        <f>HLOOKUP(B27,#REF!,12,FALSE)/1000</f>
        <v>#REF!</v>
      </c>
      <c r="H27" s="58" t="e">
        <f>HLOOKUP(B27,#REF!,16,FALSE)/1000</f>
        <v>#REF!</v>
      </c>
      <c r="I27" s="58" t="e">
        <f t="shared" si="1"/>
        <v>#REF!</v>
      </c>
      <c r="J27" s="58"/>
      <c r="K27" s="55" t="e">
        <f>HLOOKUP(B27,#REF!,11,FALSE)/1000</f>
        <v>#REF!</v>
      </c>
      <c r="L27" s="55" t="e">
        <f>HLOOKUP(B27,#REF!,15,FALSE)/1000</f>
        <v>#REF!</v>
      </c>
      <c r="M27" s="58" t="e">
        <f t="shared" si="2"/>
        <v>#REF!</v>
      </c>
      <c r="N27" s="58">
        <v>100</v>
      </c>
      <c r="O27" s="58">
        <v>0</v>
      </c>
      <c r="P27" s="58" t="s">
        <v>20</v>
      </c>
      <c r="Q27" s="3">
        <v>7838492459</v>
      </c>
      <c r="U27" s="45" t="e">
        <f t="shared" si="3"/>
        <v>#REF!</v>
      </c>
      <c r="V27" s="45" t="e">
        <f t="shared" si="4"/>
        <v>#REF!</v>
      </c>
    </row>
    <row r="28" spans="1:22" x14ac:dyDescent="0.25">
      <c r="A28" s="112"/>
      <c r="B28" s="113" t="s">
        <v>228</v>
      </c>
      <c r="C28" s="55" t="e">
        <f>HLOOKUP(B28,#REF!,13,FALSE)/1000</f>
        <v>#REF!</v>
      </c>
      <c r="D28" s="55" t="e">
        <f>HLOOKUP(B28,#REF!,17,FALSE)/1000</f>
        <v>#REF!</v>
      </c>
      <c r="E28" s="58" t="e">
        <f t="shared" ref="E28" si="5">100*(C28-D28)/C28</f>
        <v>#REF!</v>
      </c>
      <c r="F28" s="58">
        <v>100</v>
      </c>
      <c r="G28" s="58" t="e">
        <f>HLOOKUP(B28,#REF!,12,FALSE)/1000</f>
        <v>#REF!</v>
      </c>
      <c r="H28" s="58" t="e">
        <f>HLOOKUP(B28,#REF!,16,FALSE)/1000</f>
        <v>#REF!</v>
      </c>
      <c r="I28" s="58" t="e">
        <f t="shared" ref="I28" si="6">100*(G28-H28)/G28</f>
        <v>#REF!</v>
      </c>
      <c r="J28" s="58"/>
      <c r="K28" s="55" t="e">
        <f>HLOOKUP(B28,#REF!,11,FALSE)/1000</f>
        <v>#REF!</v>
      </c>
      <c r="L28" s="55" t="e">
        <f>HLOOKUP(B28,#REF!,15,FALSE)/1000</f>
        <v>#REF!</v>
      </c>
      <c r="M28" s="58" t="e">
        <f t="shared" ref="M28" si="7">100*(K28-L28)/K28</f>
        <v>#REF!</v>
      </c>
      <c r="N28" s="58">
        <v>100</v>
      </c>
      <c r="O28" s="58" t="e">
        <f>100*(C28/K28-1)</f>
        <v>#REF!</v>
      </c>
      <c r="P28" s="58" t="e">
        <f>100*(D28/L28-1)</f>
        <v>#REF!</v>
      </c>
    </row>
    <row r="29" spans="1:22" x14ac:dyDescent="0.25">
      <c r="C29" s="63" t="e">
        <f>SUM(C4:C28)-C6-C7</f>
        <v>#REF!</v>
      </c>
      <c r="D29" s="63" t="e">
        <f>SUM(D8:D28)</f>
        <v>#REF!</v>
      </c>
      <c r="E29" s="95" t="e">
        <f>(C29-D29)/C29</f>
        <v>#REF!</v>
      </c>
      <c r="G29" s="63" t="e">
        <f>SUM(G4:G28)-G6-G7</f>
        <v>#REF!</v>
      </c>
      <c r="H29" s="63" t="e">
        <f>SUM(H8:H28)</f>
        <v>#REF!</v>
      </c>
      <c r="I29" s="95" t="e">
        <f>(G29-H29)/G29</f>
        <v>#REF!</v>
      </c>
      <c r="K29" s="63" t="e">
        <f>SUM(K4:K28)-K6-K7</f>
        <v>#REF!</v>
      </c>
      <c r="L29" s="63" t="e">
        <f>SUM(L8:L28)</f>
        <v>#REF!</v>
      </c>
      <c r="M29" s="95" t="e">
        <f>(K29-L29)/K29</f>
        <v>#REF!</v>
      </c>
      <c r="O29" s="58" t="e">
        <f>100*(C29/K29-1)</f>
        <v>#REF!</v>
      </c>
      <c r="P29" s="58" t="e">
        <f>100*(D29/L29-1)</f>
        <v>#REF!</v>
      </c>
    </row>
    <row r="31" spans="1:22" x14ac:dyDescent="0.25">
      <c r="C31" s="99" t="e">
        <f>C29/G29-1</f>
        <v>#REF!</v>
      </c>
      <c r="D31" s="99" t="e">
        <f>D29/H29-1</f>
        <v>#REF!</v>
      </c>
      <c r="E31" s="99"/>
      <c r="F31" s="99"/>
      <c r="G31" s="99" t="e">
        <f>G29/K29-1</f>
        <v>#REF!</v>
      </c>
      <c r="H31" s="99" t="e">
        <f>H29/L29-1</f>
        <v>#REF!</v>
      </c>
    </row>
    <row r="33" spans="3:8" x14ac:dyDescent="0.25">
      <c r="D33" s="63" t="e">
        <f>D29-H29</f>
        <v>#REF!</v>
      </c>
      <c r="H33" s="63" t="e">
        <f>H29-L29</f>
        <v>#REF!</v>
      </c>
    </row>
    <row r="37" spans="3:8" x14ac:dyDescent="0.25">
      <c r="C37" s="57" t="e">
        <f>C29/K29</f>
        <v>#REF!</v>
      </c>
    </row>
  </sheetData>
  <mergeCells count="7">
    <mergeCell ref="P2:P3"/>
    <mergeCell ref="G2:J2"/>
    <mergeCell ref="A2:A3"/>
    <mergeCell ref="B2:B3"/>
    <mergeCell ref="C2:F2"/>
    <mergeCell ref="K2:N2"/>
    <mergeCell ref="O2:O3"/>
  </mergeCells>
  <pageMargins left="0.7" right="0.7" top="0.75" bottom="0.75" header="0.3" footer="0.3"/>
  <pageSetup paperSize="9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34E97-5BC1-4340-A5B8-E7B5886BEB66}">
  <sheetPr codeName="Лист19">
    <tabColor theme="9" tint="0.79998168889431442"/>
  </sheetPr>
  <dimension ref="A1:S25"/>
  <sheetViews>
    <sheetView workbookViewId="0"/>
  </sheetViews>
  <sheetFormatPr defaultRowHeight="15" x14ac:dyDescent="0.25"/>
  <cols>
    <col min="1" max="1" width="9.140625" style="19"/>
    <col min="2" max="2" width="40.7109375" style="50" customWidth="1"/>
    <col min="3" max="9" width="13.42578125" style="57" customWidth="1"/>
    <col min="10" max="10" width="13.7109375" bestFit="1" customWidth="1"/>
    <col min="14" max="14" width="10" bestFit="1" customWidth="1"/>
    <col min="16" max="16" width="11" bestFit="1" customWidth="1"/>
  </cols>
  <sheetData>
    <row r="1" spans="1:19" s="45" customFormat="1" x14ac:dyDescent="0.25">
      <c r="A1" t="s">
        <v>293</v>
      </c>
      <c r="B1"/>
      <c r="C1" s="57"/>
      <c r="D1" s="57"/>
      <c r="E1" s="57"/>
      <c r="F1" s="57"/>
      <c r="G1" s="57"/>
      <c r="H1" s="57"/>
      <c r="I1" s="57"/>
    </row>
    <row r="2" spans="1:19" ht="59.25" customHeight="1" x14ac:dyDescent="0.25">
      <c r="A2" s="135" t="s">
        <v>276</v>
      </c>
      <c r="B2" s="135" t="s">
        <v>0</v>
      </c>
      <c r="C2" s="135" t="s">
        <v>294</v>
      </c>
      <c r="D2" s="135" t="s">
        <v>300</v>
      </c>
      <c r="E2" s="135" t="s">
        <v>336</v>
      </c>
      <c r="F2" s="135" t="s">
        <v>295</v>
      </c>
      <c r="G2" s="135" t="s">
        <v>302</v>
      </c>
      <c r="H2" s="135" t="s">
        <v>337</v>
      </c>
      <c r="I2" s="135" t="s">
        <v>260</v>
      </c>
    </row>
    <row r="3" spans="1:19" x14ac:dyDescent="0.25">
      <c r="A3" s="30">
        <v>1</v>
      </c>
      <c r="B3" s="124" t="s">
        <v>8</v>
      </c>
      <c r="C3" s="120">
        <v>16766.936000000002</v>
      </c>
      <c r="D3" s="120">
        <v>100</v>
      </c>
      <c r="E3" s="120">
        <v>29.394586496748143</v>
      </c>
      <c r="F3" s="120">
        <v>12256.673999999999</v>
      </c>
      <c r="G3" s="58">
        <v>100</v>
      </c>
      <c r="H3" s="58">
        <v>22</v>
      </c>
      <c r="I3" s="58">
        <f>(C3/F3-1)*100</f>
        <v>36.798416927789731</v>
      </c>
      <c r="J3" s="20">
        <v>4205271785</v>
      </c>
      <c r="N3" s="45"/>
      <c r="O3" s="45"/>
      <c r="S3" s="45"/>
    </row>
    <row r="4" spans="1:19" s="45" customFormat="1" x14ac:dyDescent="0.25">
      <c r="A4" s="30">
        <v>2</v>
      </c>
      <c r="B4" s="124" t="s">
        <v>257</v>
      </c>
      <c r="C4" s="120">
        <v>8935.8408199999994</v>
      </c>
      <c r="D4" s="120">
        <v>100</v>
      </c>
      <c r="E4" s="120">
        <v>22.4014407878926</v>
      </c>
      <c r="F4" s="120" t="s">
        <v>5</v>
      </c>
      <c r="G4" s="120" t="s">
        <v>5</v>
      </c>
      <c r="H4" s="120" t="s">
        <v>5</v>
      </c>
      <c r="I4" s="58" t="s">
        <v>245</v>
      </c>
      <c r="J4" s="20">
        <v>5407973316</v>
      </c>
    </row>
    <row r="5" spans="1:19" x14ac:dyDescent="0.25">
      <c r="A5" s="30">
        <v>3</v>
      </c>
      <c r="B5" s="124" t="s">
        <v>19</v>
      </c>
      <c r="C5" s="120">
        <v>8327.9549999999999</v>
      </c>
      <c r="D5" s="120">
        <v>100</v>
      </c>
      <c r="E5" s="121">
        <v>33.4</v>
      </c>
      <c r="F5" s="121">
        <v>8379.0329999999994</v>
      </c>
      <c r="G5" s="70">
        <v>100</v>
      </c>
      <c r="H5" s="58">
        <v>19.399999999999999</v>
      </c>
      <c r="I5" s="58">
        <f t="shared" ref="I5:I25" si="0">(C5/F5-1)*100</f>
        <v>-0.60959301628241702</v>
      </c>
      <c r="J5" s="20">
        <v>7704784072</v>
      </c>
      <c r="L5" s="45"/>
      <c r="M5" s="45"/>
      <c r="N5" s="45"/>
      <c r="O5" s="45"/>
      <c r="P5" s="45"/>
      <c r="Q5" s="45"/>
      <c r="R5" s="45"/>
      <c r="S5" s="45"/>
    </row>
    <row r="6" spans="1:19" s="45" customFormat="1" x14ac:dyDescent="0.25">
      <c r="A6" s="30">
        <v>4</v>
      </c>
      <c r="B6" s="124" t="s">
        <v>284</v>
      </c>
      <c r="C6" s="120">
        <v>7752.4040000000005</v>
      </c>
      <c r="D6" s="120" t="s">
        <v>5</v>
      </c>
      <c r="E6" s="121" t="s">
        <v>5</v>
      </c>
      <c r="F6" s="121">
        <v>9582.0499999999993</v>
      </c>
      <c r="G6" s="121" t="s">
        <v>5</v>
      </c>
      <c r="H6" s="120" t="s">
        <v>5</v>
      </c>
      <c r="I6" s="58">
        <f t="shared" si="0"/>
        <v>-19.094515265522503</v>
      </c>
      <c r="J6" s="20" t="s">
        <v>114</v>
      </c>
    </row>
    <row r="7" spans="1:19" s="45" customFormat="1" x14ac:dyDescent="0.25">
      <c r="A7" s="30">
        <v>6</v>
      </c>
      <c r="B7" s="124" t="s">
        <v>216</v>
      </c>
      <c r="C7" s="120">
        <v>6750.232</v>
      </c>
      <c r="D7" s="120">
        <v>100</v>
      </c>
      <c r="E7" s="121" t="s">
        <v>5</v>
      </c>
      <c r="F7" s="121">
        <v>6997.4170000000004</v>
      </c>
      <c r="G7" s="70">
        <v>100</v>
      </c>
      <c r="H7" s="120" t="s">
        <v>5</v>
      </c>
      <c r="I7" s="58">
        <f t="shared" si="0"/>
        <v>-3.5325177847768785</v>
      </c>
      <c r="J7" s="20">
        <v>7733812126</v>
      </c>
    </row>
    <row r="8" spans="1:19" x14ac:dyDescent="0.25">
      <c r="A8" s="30">
        <v>5</v>
      </c>
      <c r="B8" s="124" t="s">
        <v>256</v>
      </c>
      <c r="C8" s="120">
        <v>5736.8860000000004</v>
      </c>
      <c r="D8" s="120">
        <v>71.031344705123999</v>
      </c>
      <c r="E8" s="121" t="s">
        <v>5</v>
      </c>
      <c r="F8" s="121">
        <v>5591.48</v>
      </c>
      <c r="G8" s="70">
        <v>52.414060016310529</v>
      </c>
      <c r="H8" s="120" t="s">
        <v>5</v>
      </c>
      <c r="I8" s="58">
        <f t="shared" si="0"/>
        <v>2.6004921773841838</v>
      </c>
      <c r="J8" s="20" t="s">
        <v>289</v>
      </c>
      <c r="L8" s="45"/>
      <c r="M8" s="45"/>
      <c r="N8" s="45"/>
      <c r="O8" s="45"/>
      <c r="P8" s="45"/>
      <c r="Q8" s="45"/>
      <c r="R8" s="45"/>
      <c r="S8" s="45"/>
    </row>
    <row r="9" spans="1:19" x14ac:dyDescent="0.25">
      <c r="A9" s="30">
        <v>7</v>
      </c>
      <c r="B9" s="124" t="s">
        <v>213</v>
      </c>
      <c r="C9" s="120">
        <v>5617.6970000000001</v>
      </c>
      <c r="D9" s="120">
        <v>81.160233461830671</v>
      </c>
      <c r="E9" s="121" t="s">
        <v>5</v>
      </c>
      <c r="F9" s="121">
        <v>8757.5</v>
      </c>
      <c r="G9" s="70">
        <v>67.046904115274231</v>
      </c>
      <c r="H9" s="120" t="s">
        <v>5</v>
      </c>
      <c r="I9" s="58">
        <f t="shared" si="0"/>
        <v>-35.852731944047953</v>
      </c>
      <c r="J9" s="20" t="s">
        <v>214</v>
      </c>
      <c r="L9" s="45"/>
      <c r="M9" s="45"/>
      <c r="N9" s="45"/>
      <c r="O9" s="45"/>
      <c r="P9" s="45"/>
      <c r="Q9" s="45"/>
      <c r="R9" s="45"/>
      <c r="S9" s="45"/>
    </row>
    <row r="10" spans="1:19" x14ac:dyDescent="0.25">
      <c r="A10" s="30">
        <v>8</v>
      </c>
      <c r="B10" s="124" t="s">
        <v>10</v>
      </c>
      <c r="C10" s="120">
        <v>2363.2199999999998</v>
      </c>
      <c r="D10" s="120">
        <v>53</v>
      </c>
      <c r="E10" s="121">
        <v>57.999999999999993</v>
      </c>
      <c r="F10" s="121">
        <v>2672.54</v>
      </c>
      <c r="G10" s="70">
        <v>40</v>
      </c>
      <c r="H10" s="58">
        <v>59</v>
      </c>
      <c r="I10" s="58">
        <f t="shared" si="0"/>
        <v>-11.574008246836353</v>
      </c>
      <c r="J10" s="20">
        <v>5260271530</v>
      </c>
      <c r="L10" s="45"/>
      <c r="M10" s="45"/>
      <c r="N10" s="45"/>
      <c r="O10" s="45"/>
      <c r="P10" s="45"/>
      <c r="Q10" s="45"/>
      <c r="R10" s="45"/>
      <c r="S10" s="45"/>
    </row>
    <row r="11" spans="1:19" s="45" customFormat="1" x14ac:dyDescent="0.25">
      <c r="A11" s="30">
        <v>9</v>
      </c>
      <c r="B11" s="124" t="s">
        <v>262</v>
      </c>
      <c r="C11" s="120">
        <v>1427.5210000000002</v>
      </c>
      <c r="D11" s="120">
        <v>25.379999999999995</v>
      </c>
      <c r="E11" s="121">
        <v>30.39</v>
      </c>
      <c r="F11" s="121">
        <v>1708.3319999999999</v>
      </c>
      <c r="G11" s="70">
        <v>95</v>
      </c>
      <c r="H11" s="58">
        <v>53.349999999999994</v>
      </c>
      <c r="I11" s="58">
        <f t="shared" si="0"/>
        <v>-16.437729902618447</v>
      </c>
      <c r="J11" s="20">
        <v>4205219217</v>
      </c>
    </row>
    <row r="12" spans="1:19" x14ac:dyDescent="0.25">
      <c r="A12" s="30">
        <v>10</v>
      </c>
      <c r="B12" s="124" t="s">
        <v>221</v>
      </c>
      <c r="C12" s="120">
        <v>1331.3690000000001</v>
      </c>
      <c r="D12" s="120">
        <v>100</v>
      </c>
      <c r="E12" s="121">
        <v>9.7900000000000009</v>
      </c>
      <c r="F12" s="121">
        <v>824.78</v>
      </c>
      <c r="G12" s="70">
        <v>100</v>
      </c>
      <c r="H12" s="58">
        <v>10.440000000000001</v>
      </c>
      <c r="I12" s="58">
        <f t="shared" si="0"/>
        <v>61.421106234389789</v>
      </c>
      <c r="J12" s="20">
        <v>5260355389</v>
      </c>
      <c r="L12" s="45"/>
      <c r="M12" s="45"/>
      <c r="N12" s="45"/>
      <c r="O12" s="45"/>
      <c r="P12" s="45"/>
      <c r="Q12" s="45"/>
      <c r="R12" s="45"/>
      <c r="S12" s="45"/>
    </row>
    <row r="13" spans="1:19" x14ac:dyDescent="0.25">
      <c r="A13" s="30">
        <v>11</v>
      </c>
      <c r="B13" s="124" t="s">
        <v>235</v>
      </c>
      <c r="C13" s="120">
        <v>1235.338</v>
      </c>
      <c r="D13" s="120">
        <v>100</v>
      </c>
      <c r="E13" s="121">
        <v>20.329999999999998</v>
      </c>
      <c r="F13" s="121">
        <v>2133.56</v>
      </c>
      <c r="G13" s="70">
        <v>100</v>
      </c>
      <c r="H13" s="58">
        <v>11.2</v>
      </c>
      <c r="I13" s="58">
        <f t="shared" si="0"/>
        <v>-42.099683158664391</v>
      </c>
      <c r="J13" s="20" t="s">
        <v>111</v>
      </c>
      <c r="L13" s="45"/>
      <c r="M13" s="45"/>
      <c r="N13" s="45"/>
      <c r="O13" s="45"/>
      <c r="P13" s="45"/>
      <c r="Q13" s="45"/>
      <c r="R13" s="45"/>
      <c r="S13" s="45"/>
    </row>
    <row r="14" spans="1:19" x14ac:dyDescent="0.25">
      <c r="A14" s="30">
        <v>14</v>
      </c>
      <c r="B14" s="1" t="s">
        <v>285</v>
      </c>
      <c r="C14" s="120">
        <v>904.42</v>
      </c>
      <c r="D14" s="120" t="s">
        <v>5</v>
      </c>
      <c r="E14" s="121" t="s">
        <v>5</v>
      </c>
      <c r="F14" s="121">
        <v>1741.0929999999998</v>
      </c>
      <c r="G14" s="70">
        <v>100</v>
      </c>
      <c r="H14" s="58">
        <v>10</v>
      </c>
      <c r="I14" s="58">
        <f t="shared" si="0"/>
        <v>-48.054469232832474</v>
      </c>
      <c r="J14" s="20">
        <v>5501246928</v>
      </c>
      <c r="L14" s="45"/>
      <c r="M14" s="45"/>
      <c r="N14" s="45"/>
      <c r="O14" s="45"/>
      <c r="P14" s="45"/>
      <c r="Q14" s="45"/>
      <c r="R14" s="45"/>
      <c r="S14" s="45"/>
    </row>
    <row r="15" spans="1:19" x14ac:dyDescent="0.25">
      <c r="A15" s="30">
        <v>13</v>
      </c>
      <c r="B15" s="124" t="s">
        <v>286</v>
      </c>
      <c r="C15" s="120">
        <v>892.73800000000006</v>
      </c>
      <c r="D15" s="120">
        <v>100</v>
      </c>
      <c r="E15" s="121" t="s">
        <v>5</v>
      </c>
      <c r="F15" s="121">
        <v>105.506</v>
      </c>
      <c r="G15" s="70">
        <v>100</v>
      </c>
      <c r="H15" s="120" t="s">
        <v>5</v>
      </c>
      <c r="I15" s="58">
        <f t="shared" si="0"/>
        <v>746.14903417815106</v>
      </c>
      <c r="J15" s="20">
        <v>7704493556</v>
      </c>
      <c r="L15" s="45"/>
      <c r="M15" s="45"/>
      <c r="N15" s="45"/>
      <c r="O15" s="45"/>
      <c r="P15" s="45"/>
      <c r="Q15" s="45"/>
      <c r="R15" s="45"/>
      <c r="S15" s="45"/>
    </row>
    <row r="16" spans="1:19" s="45" customFormat="1" x14ac:dyDescent="0.25">
      <c r="A16" s="30">
        <v>12</v>
      </c>
      <c r="B16" s="124" t="s">
        <v>282</v>
      </c>
      <c r="C16" s="120">
        <v>735.70100000000002</v>
      </c>
      <c r="D16" s="120">
        <v>100</v>
      </c>
      <c r="E16" s="121">
        <v>18.3</v>
      </c>
      <c r="F16" s="121">
        <v>313.66300000000001</v>
      </c>
      <c r="G16" s="70">
        <v>100</v>
      </c>
      <c r="H16" s="58">
        <v>23.6</v>
      </c>
      <c r="I16" s="58">
        <f t="shared" si="0"/>
        <v>134.55141345966851</v>
      </c>
      <c r="J16" s="20">
        <v>1659182700</v>
      </c>
    </row>
    <row r="17" spans="1:19" x14ac:dyDescent="0.25">
      <c r="A17" s="30">
        <v>15</v>
      </c>
      <c r="B17" s="124" t="s">
        <v>220</v>
      </c>
      <c r="C17" s="120">
        <v>613.82500000000005</v>
      </c>
      <c r="D17" s="120">
        <v>89</v>
      </c>
      <c r="E17" s="121">
        <v>11</v>
      </c>
      <c r="F17" s="121">
        <v>1028.1089999999999</v>
      </c>
      <c r="G17" s="70">
        <v>82</v>
      </c>
      <c r="H17" s="58">
        <v>9</v>
      </c>
      <c r="I17" s="58">
        <f t="shared" si="0"/>
        <v>-40.295727398554035</v>
      </c>
      <c r="J17" s="20">
        <v>7705974076</v>
      </c>
      <c r="L17" s="45"/>
      <c r="M17" s="45"/>
      <c r="N17" s="45"/>
      <c r="O17" s="45"/>
      <c r="P17" s="45"/>
      <c r="Q17" s="45"/>
      <c r="R17" s="45"/>
      <c r="S17" s="45"/>
    </row>
    <row r="18" spans="1:19" x14ac:dyDescent="0.25">
      <c r="A18" s="30">
        <v>16</v>
      </c>
      <c r="B18" s="124" t="s">
        <v>296</v>
      </c>
      <c r="C18" s="58">
        <v>411.89400000000001</v>
      </c>
      <c r="D18" s="58">
        <v>56.872786011232598</v>
      </c>
      <c r="E18" s="70">
        <v>28.4</v>
      </c>
      <c r="F18" s="70">
        <v>603.00342000000001</v>
      </c>
      <c r="G18" s="70">
        <v>9.3660939424608305</v>
      </c>
      <c r="H18" s="58">
        <v>9.1999999999999993</v>
      </c>
      <c r="I18" s="58">
        <f t="shared" si="0"/>
        <v>-31.69292472669558</v>
      </c>
      <c r="J18" s="20" t="s">
        <v>12</v>
      </c>
      <c r="L18" s="45"/>
      <c r="M18" s="45"/>
      <c r="N18" s="45"/>
      <c r="O18" s="45"/>
      <c r="P18" s="45"/>
      <c r="Q18" s="45"/>
      <c r="R18" s="45"/>
      <c r="S18" s="45"/>
    </row>
    <row r="19" spans="1:19" s="45" customFormat="1" x14ac:dyDescent="0.25">
      <c r="A19" s="30">
        <v>17</v>
      </c>
      <c r="B19" s="124" t="s">
        <v>15</v>
      </c>
      <c r="C19" s="120">
        <v>269.173</v>
      </c>
      <c r="D19" s="120">
        <v>99.8</v>
      </c>
      <c r="E19" s="121">
        <v>19.900000000000002</v>
      </c>
      <c r="F19" s="121">
        <v>113.858</v>
      </c>
      <c r="G19" s="70">
        <v>99.9</v>
      </c>
      <c r="H19" s="58">
        <v>16.8</v>
      </c>
      <c r="I19" s="58">
        <f t="shared" si="0"/>
        <v>136.41114370531713</v>
      </c>
      <c r="J19" s="20">
        <v>7715825027</v>
      </c>
    </row>
    <row r="20" spans="1:19" x14ac:dyDescent="0.25">
      <c r="A20" s="30">
        <v>18</v>
      </c>
      <c r="B20" s="124" t="s">
        <v>16</v>
      </c>
      <c r="C20" s="120">
        <v>255.38499999999999</v>
      </c>
      <c r="D20" s="120">
        <v>0</v>
      </c>
      <c r="E20" s="121">
        <v>23</v>
      </c>
      <c r="F20" s="121">
        <v>141.536</v>
      </c>
      <c r="G20" s="70">
        <v>0</v>
      </c>
      <c r="H20" s="58">
        <v>28.000000000000004</v>
      </c>
      <c r="I20" s="58">
        <f t="shared" si="0"/>
        <v>80.438192403346136</v>
      </c>
      <c r="J20" s="20">
        <v>4205312696</v>
      </c>
      <c r="L20" s="45"/>
      <c r="M20" s="45"/>
      <c r="N20" s="45"/>
      <c r="O20" s="45"/>
      <c r="P20" s="45"/>
      <c r="Q20" s="45"/>
      <c r="R20" s="45"/>
      <c r="S20" s="45"/>
    </row>
    <row r="21" spans="1:19" x14ac:dyDescent="0.25">
      <c r="A21" s="30">
        <v>19</v>
      </c>
      <c r="B21" s="124" t="s">
        <v>11</v>
      </c>
      <c r="C21" s="120">
        <v>181.26300000000001</v>
      </c>
      <c r="D21" s="120">
        <v>47</v>
      </c>
      <c r="E21" s="121" t="s">
        <v>5</v>
      </c>
      <c r="F21" s="121">
        <v>760.79099999999994</v>
      </c>
      <c r="G21" s="70">
        <v>36</v>
      </c>
      <c r="H21" s="120" t="s">
        <v>5</v>
      </c>
      <c r="I21" s="58">
        <f t="shared" si="0"/>
        <v>-76.174402694038179</v>
      </c>
      <c r="J21" s="20">
        <v>5407264020</v>
      </c>
      <c r="L21" s="45"/>
      <c r="M21" s="45"/>
      <c r="N21" s="45"/>
      <c r="O21" s="45"/>
      <c r="P21" s="45"/>
      <c r="Q21" s="45"/>
      <c r="R21" s="45"/>
      <c r="S21" s="45"/>
    </row>
    <row r="22" spans="1:19" x14ac:dyDescent="0.25">
      <c r="A22" s="30">
        <v>20</v>
      </c>
      <c r="B22" s="124" t="s">
        <v>283</v>
      </c>
      <c r="C22" s="120">
        <v>160.34700000000001</v>
      </c>
      <c r="D22" s="120">
        <v>100</v>
      </c>
      <c r="E22" s="120" t="s">
        <v>5</v>
      </c>
      <c r="F22" s="120">
        <v>178.69299999999998</v>
      </c>
      <c r="G22" s="58">
        <v>93</v>
      </c>
      <c r="H22" s="120" t="s">
        <v>5</v>
      </c>
      <c r="I22" s="58">
        <f t="shared" si="0"/>
        <v>-10.266770382723433</v>
      </c>
      <c r="J22" s="20">
        <v>2465260220</v>
      </c>
      <c r="P22" s="45"/>
      <c r="Q22" s="45"/>
      <c r="R22" s="45"/>
      <c r="S22" s="45"/>
    </row>
    <row r="23" spans="1:19" x14ac:dyDescent="0.25">
      <c r="A23" s="30">
        <v>21</v>
      </c>
      <c r="B23" s="124" t="s">
        <v>287</v>
      </c>
      <c r="C23" s="120">
        <v>122.33052999999998</v>
      </c>
      <c r="D23" s="120">
        <v>1.8959798457684438</v>
      </c>
      <c r="E23" s="120" t="s">
        <v>5</v>
      </c>
      <c r="F23" s="120">
        <v>1676.0932389999998</v>
      </c>
      <c r="G23" s="58">
        <v>9.4065895831340818</v>
      </c>
      <c r="H23" s="120" t="s">
        <v>5</v>
      </c>
      <c r="I23" s="58">
        <f t="shared" si="0"/>
        <v>-92.701448394781096</v>
      </c>
      <c r="J23" s="20" t="s">
        <v>288</v>
      </c>
      <c r="P23" s="45"/>
      <c r="Q23" s="45"/>
      <c r="R23" s="45"/>
      <c r="S23" s="45"/>
    </row>
    <row r="24" spans="1:19" x14ac:dyDescent="0.25">
      <c r="A24" s="30">
        <v>22</v>
      </c>
      <c r="B24" s="1" t="s">
        <v>251</v>
      </c>
      <c r="C24" s="120">
        <v>60.283000000000001</v>
      </c>
      <c r="D24" s="120">
        <v>41</v>
      </c>
      <c r="E24" s="120" t="s">
        <v>5</v>
      </c>
      <c r="F24" s="120">
        <v>58.933999999999997</v>
      </c>
      <c r="G24" s="58">
        <v>36</v>
      </c>
      <c r="H24" s="120" t="s">
        <v>5</v>
      </c>
      <c r="I24" s="58">
        <f t="shared" si="0"/>
        <v>2.2890012556419093</v>
      </c>
      <c r="J24" s="20" t="s">
        <v>18</v>
      </c>
      <c r="P24" s="45"/>
      <c r="Q24" s="45"/>
      <c r="R24" s="45"/>
      <c r="S24" s="45"/>
    </row>
    <row r="25" spans="1:19" x14ac:dyDescent="0.25">
      <c r="A25" s="30">
        <v>23</v>
      </c>
      <c r="B25" s="1" t="s">
        <v>33</v>
      </c>
      <c r="C25" s="120">
        <v>37.651000000000003</v>
      </c>
      <c r="D25" s="120">
        <v>0</v>
      </c>
      <c r="E25" s="120">
        <v>0</v>
      </c>
      <c r="F25" s="120">
        <v>131.62200000000001</v>
      </c>
      <c r="G25" s="58">
        <v>0</v>
      </c>
      <c r="H25" s="58">
        <v>99</v>
      </c>
      <c r="I25" s="58">
        <f t="shared" si="0"/>
        <v>-71.394599686982417</v>
      </c>
      <c r="J25" s="20">
        <v>5410059568</v>
      </c>
      <c r="P25" s="45"/>
      <c r="Q25" s="45"/>
      <c r="R25" s="45"/>
      <c r="S25" s="45"/>
    </row>
  </sheetData>
  <autoFilter ref="A2:O2" xr:uid="{9F2AF53A-1447-496B-808F-73905A1B544A}">
    <sortState xmlns:xlrd2="http://schemas.microsoft.com/office/spreadsheetml/2017/richdata2" ref="A3:O25">
      <sortCondition descending="1" ref="C2"/>
    </sortState>
  </autoFilter>
  <sortState xmlns:xlrd2="http://schemas.microsoft.com/office/spreadsheetml/2017/richdata2" ref="A3:J23">
    <sortCondition descending="1" ref="C3:C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Табл 1 (2)</vt:lpstr>
      <vt:lpstr>ТБ1 (2)</vt:lpstr>
      <vt:lpstr>ТБ1</vt:lpstr>
      <vt:lpstr>Табл 1</vt:lpstr>
      <vt:lpstr>ТБ2</vt:lpstr>
      <vt:lpstr>Табл 2</vt:lpstr>
      <vt:lpstr>Табл 3</vt:lpstr>
      <vt:lpstr>ТБ3</vt:lpstr>
      <vt:lpstr>Табл 4</vt:lpstr>
      <vt:lpstr>ТБ4</vt:lpstr>
      <vt:lpstr>Табл 5</vt:lpstr>
      <vt:lpstr>ТБ5</vt:lpstr>
      <vt:lpstr>Табл 6</vt:lpstr>
      <vt:lpstr>ТБ6</vt:lpstr>
      <vt:lpstr>Табл 7</vt:lpstr>
      <vt:lpstr>ТБ7</vt:lpstr>
      <vt:lpstr>Табл 8</vt:lpstr>
      <vt:lpstr>ТБ8</vt:lpstr>
      <vt:lpstr>ТБ9</vt:lpstr>
      <vt:lpstr>Табл 11</vt:lpstr>
      <vt:lpstr>Расчет</vt:lpstr>
      <vt:lpstr>ТБ10</vt:lpstr>
      <vt:lpstr>Расчет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Доронкин Михаил</dc:creator>
  <cp:lastModifiedBy>Уклеин Иван</cp:lastModifiedBy>
  <dcterms:created xsi:type="dcterms:W3CDTF">2015-06-05T18:19:34Z</dcterms:created>
  <dcterms:modified xsi:type="dcterms:W3CDTF">2021-04-15T07:44:48Z</dcterms:modified>
</cp:coreProperties>
</file>