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ЭтаКнига"/>
  <mc:AlternateContent xmlns:mc="http://schemas.openxmlformats.org/markup-compatibility/2006">
    <mc:Choice Requires="x15">
      <x15ac:absPath xmlns:x15ac="http://schemas.microsoft.com/office/spreadsheetml/2010/11/ac" url="\\expert.local\RA\Users\Banks\MFO\2021\Итоги 1пг2021\Рабочая документация\сумматор\коррекция рэнков\"/>
    </mc:Choice>
  </mc:AlternateContent>
  <xr:revisionPtr revIDLastSave="0" documentId="8_{B723B9E7-2C21-483B-8E4C-751D7F365FBD}" xr6:coauthVersionLast="46" xr6:coauthVersionMax="46" xr10:uidLastSave="{00000000-0000-0000-0000-000000000000}"/>
  <bookViews>
    <workbookView xWindow="-120" yWindow="-120" windowWidth="20730" windowHeight="11160" tabRatio="835" firstSheet="1" activeTab="1" xr2:uid="{00000000-000D-0000-FFFF-FFFF00000000}"/>
  </bookViews>
  <sheets>
    <sheet name="Т1" sheetId="1" state="hidden" r:id="rId1"/>
    <sheet name="Табл1" sheetId="2" r:id="rId2"/>
    <sheet name="Т2" sheetId="4" state="hidden" r:id="rId3"/>
    <sheet name="Табл2" sheetId="5" r:id="rId4"/>
    <sheet name="Т3" sheetId="6" state="hidden" r:id="rId5"/>
    <sheet name="Табл3" sheetId="7" r:id="rId6"/>
    <sheet name="Т4" sheetId="8" state="hidden" r:id="rId7"/>
    <sheet name="Табл4" sheetId="11" r:id="rId8"/>
    <sheet name="Т5" sheetId="12" state="hidden" r:id="rId9"/>
    <sheet name="Табл5" sheetId="14" r:id="rId10"/>
    <sheet name="Т6" sheetId="16" state="hidden" r:id="rId11"/>
    <sheet name="Табл6" sheetId="17" r:id="rId12"/>
    <sheet name="Т7" sheetId="18" state="hidden" r:id="rId13"/>
    <sheet name="Табл7-" sheetId="19" state="hidden" r:id="rId14"/>
    <sheet name="Табл7" sheetId="33" r:id="rId15"/>
    <sheet name="Т8" sheetId="21" state="hidden" r:id="rId16"/>
    <sheet name="Табл8" sheetId="22" r:id="rId17"/>
    <sheet name="Т9-1" sheetId="23" state="hidden" r:id="rId18"/>
    <sheet name="Табл9-1" sheetId="24" state="hidden" r:id="rId19"/>
    <sheet name="Т10-1" sheetId="26" state="hidden" r:id="rId20"/>
    <sheet name="Табл10-1" sheetId="29" state="hidden" r:id="rId21"/>
    <sheet name="Т11" sheetId="30" state="hidden" r:id="rId22"/>
    <sheet name="Табл9" sheetId="31" r:id="rId23"/>
    <sheet name="Т12" sheetId="32" state="hidden" r:id="rId24"/>
    <sheet name="Т13" sheetId="37" state="hidden" r:id="rId25"/>
    <sheet name="Табл11" sheetId="38" r:id="rId26"/>
    <sheet name="Табл10" sheetId="40" r:id="rId27"/>
  </sheets>
  <externalReferences>
    <externalReference r:id="rId28"/>
    <externalReference r:id="rId29"/>
    <externalReference r:id="rId30"/>
  </externalReferences>
  <definedNames>
    <definedName name="_xlnm._FilterDatabase" localSheetId="3" hidden="1">Табл2!$C$3:$C$66</definedName>
    <definedName name="_xlnm._FilterDatabase" localSheetId="5" hidden="1">Табл3!$C$4:$C$26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40" l="1"/>
  <c r="E3" i="40"/>
  <c r="F24" i="40"/>
  <c r="D24" i="40"/>
  <c r="C24" i="40"/>
  <c r="E24" i="40" s="1"/>
  <c r="F23" i="40"/>
  <c r="D23" i="40"/>
  <c r="C23" i="40"/>
  <c r="E23" i="40" s="1"/>
  <c r="F22" i="40"/>
  <c r="D22" i="40"/>
  <c r="C22" i="40"/>
  <c r="E22" i="40" s="1"/>
  <c r="F21" i="40"/>
  <c r="D21" i="40"/>
  <c r="C21" i="40"/>
  <c r="E21" i="40" s="1"/>
  <c r="F20" i="40"/>
  <c r="D20" i="40"/>
  <c r="C20" i="40"/>
  <c r="E20" i="40" s="1"/>
  <c r="F19" i="40"/>
  <c r="D19" i="40"/>
  <c r="C19" i="40"/>
  <c r="E19" i="40" s="1"/>
  <c r="F18" i="40"/>
  <c r="D18" i="40"/>
  <c r="C18" i="40"/>
  <c r="E18" i="40" s="1"/>
  <c r="F17" i="40"/>
  <c r="D17" i="40"/>
  <c r="C17" i="40"/>
  <c r="E17" i="40" s="1"/>
  <c r="F16" i="40"/>
  <c r="D16" i="40"/>
  <c r="C16" i="40"/>
  <c r="E16" i="40" s="1"/>
  <c r="F15" i="40"/>
  <c r="D15" i="40"/>
  <c r="C15" i="40"/>
  <c r="E15" i="40" s="1"/>
  <c r="F14" i="40"/>
  <c r="D14" i="40"/>
  <c r="C14" i="40"/>
  <c r="E14" i="40" s="1"/>
  <c r="F13" i="40"/>
  <c r="D13" i="40"/>
  <c r="C13" i="40"/>
  <c r="E13" i="40" s="1"/>
  <c r="F12" i="40"/>
  <c r="D12" i="40"/>
  <c r="C12" i="40"/>
  <c r="E12" i="40" s="1"/>
  <c r="F11" i="40"/>
  <c r="D11" i="40"/>
  <c r="C11" i="40"/>
  <c r="E11" i="40" s="1"/>
  <c r="F10" i="40"/>
  <c r="D10" i="40"/>
  <c r="C10" i="40"/>
  <c r="E10" i="40" s="1"/>
  <c r="F9" i="40"/>
  <c r="D9" i="40"/>
  <c r="C9" i="40"/>
  <c r="E9" i="40" s="1"/>
  <c r="F8" i="40"/>
  <c r="D8" i="40"/>
  <c r="C8" i="40"/>
  <c r="E8" i="40" s="1"/>
  <c r="F6" i="40"/>
  <c r="D6" i="40"/>
  <c r="C6" i="40"/>
  <c r="E6" i="40" s="1"/>
  <c r="F5" i="40"/>
  <c r="D5" i="40"/>
  <c r="C5" i="40"/>
  <c r="F4" i="40"/>
  <c r="D4" i="40"/>
  <c r="C4" i="40"/>
  <c r="C43" i="22"/>
  <c r="O46" i="33"/>
  <c r="M46" i="33"/>
  <c r="G47" i="33"/>
  <c r="D47" i="33"/>
  <c r="G46" i="33"/>
  <c r="D46" i="33"/>
  <c r="G44" i="33"/>
  <c r="D44" i="33"/>
  <c r="G43" i="33"/>
  <c r="D43" i="33"/>
  <c r="G40" i="33"/>
  <c r="D40" i="33"/>
  <c r="G34" i="33"/>
  <c r="D34" i="33"/>
  <c r="G33" i="33"/>
  <c r="D33" i="33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D62" i="18"/>
  <c r="D52" i="18"/>
  <c r="D53" i="18"/>
  <c r="D54" i="18"/>
  <c r="D55" i="18"/>
  <c r="D56" i="18"/>
  <c r="D57" i="18"/>
  <c r="D58" i="18"/>
  <c r="D59" i="18"/>
  <c r="D60" i="18"/>
  <c r="D61" i="18"/>
  <c r="D46" i="18"/>
  <c r="D47" i="18"/>
  <c r="D48" i="18"/>
  <c r="D49" i="18"/>
  <c r="D50" i="18"/>
  <c r="D51" i="18"/>
  <c r="D43" i="18"/>
  <c r="D44" i="18"/>
  <c r="D45" i="18"/>
  <c r="D42" i="18"/>
  <c r="G41" i="18"/>
  <c r="D41" i="18"/>
  <c r="E4" i="40" l="1"/>
  <c r="E5" i="40"/>
  <c r="G11" i="7"/>
  <c r="F3" i="38"/>
  <c r="F4" i="38"/>
  <c r="F5" i="38"/>
  <c r="F6" i="38"/>
  <c r="F7" i="38"/>
  <c r="F8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D34" i="38"/>
  <c r="C34" i="38"/>
  <c r="D18" i="38"/>
  <c r="C18" i="38"/>
  <c r="D35" i="38"/>
  <c r="C35" i="38"/>
  <c r="D12" i="38"/>
  <c r="C12" i="38"/>
  <c r="D7" i="38"/>
  <c r="C7" i="38"/>
  <c r="D26" i="38"/>
  <c r="C26" i="38"/>
  <c r="D38" i="38"/>
  <c r="C38" i="38"/>
  <c r="D5" i="38"/>
  <c r="C5" i="38"/>
  <c r="D37" i="38"/>
  <c r="C37" i="38"/>
  <c r="D14" i="38"/>
  <c r="C14" i="38"/>
  <c r="D8" i="38"/>
  <c r="C8" i="38"/>
  <c r="D15" i="38"/>
  <c r="C15" i="38"/>
  <c r="D32" i="38"/>
  <c r="C32" i="38"/>
  <c r="D6" i="38"/>
  <c r="C6" i="38"/>
  <c r="D27" i="38"/>
  <c r="C27" i="38"/>
  <c r="D30" i="38"/>
  <c r="C30" i="38"/>
  <c r="C9" i="38"/>
  <c r="D10" i="38"/>
  <c r="C10" i="38"/>
  <c r="D16" i="38"/>
  <c r="C16" i="38"/>
  <c r="D25" i="38"/>
  <c r="C25" i="38"/>
  <c r="D22" i="38"/>
  <c r="C22" i="38"/>
  <c r="D28" i="38"/>
  <c r="C28" i="38"/>
  <c r="D4" i="38"/>
  <c r="C4" i="38"/>
  <c r="D3" i="38"/>
  <c r="C3" i="38"/>
  <c r="D11" i="38"/>
  <c r="C11" i="38"/>
  <c r="D21" i="38"/>
  <c r="C21" i="38"/>
  <c r="D24" i="38"/>
  <c r="C24" i="38"/>
  <c r="D19" i="38"/>
  <c r="C19" i="38"/>
  <c r="D29" i="38"/>
  <c r="C29" i="38"/>
  <c r="D36" i="38"/>
  <c r="C36" i="38"/>
  <c r="D17" i="38"/>
  <c r="C17" i="38"/>
  <c r="D23" i="38"/>
  <c r="C23" i="38"/>
  <c r="D31" i="38"/>
  <c r="C31" i="38"/>
  <c r="D20" i="38"/>
  <c r="C20" i="38"/>
  <c r="D33" i="38"/>
  <c r="C33" i="38"/>
  <c r="D13" i="38"/>
  <c r="C13" i="38"/>
  <c r="C7" i="37"/>
  <c r="D7" i="37"/>
  <c r="C39" i="37"/>
  <c r="D39" i="37"/>
  <c r="C4" i="37"/>
  <c r="D4" i="37"/>
  <c r="C5" i="37"/>
  <c r="D5" i="37"/>
  <c r="C6" i="37"/>
  <c r="D6" i="37"/>
  <c r="C8" i="37"/>
  <c r="D8" i="37"/>
  <c r="C9" i="37"/>
  <c r="D9" i="37"/>
  <c r="C10" i="37"/>
  <c r="D10" i="37"/>
  <c r="C11" i="37"/>
  <c r="D11" i="37"/>
  <c r="C12" i="37"/>
  <c r="D12" i="37"/>
  <c r="C13" i="37"/>
  <c r="D13" i="37"/>
  <c r="C14" i="37"/>
  <c r="D14" i="37"/>
  <c r="C15" i="37"/>
  <c r="D15" i="37"/>
  <c r="C16" i="37"/>
  <c r="D16" i="37"/>
  <c r="C17" i="37"/>
  <c r="D17" i="37"/>
  <c r="C18" i="37"/>
  <c r="D18" i="37"/>
  <c r="C19" i="37"/>
  <c r="D19" i="37"/>
  <c r="C20" i="37"/>
  <c r="D20" i="37"/>
  <c r="C21" i="37"/>
  <c r="D21" i="37"/>
  <c r="C22" i="37"/>
  <c r="D22" i="37"/>
  <c r="C23" i="37"/>
  <c r="D23" i="37"/>
  <c r="C24" i="37"/>
  <c r="D24" i="37"/>
  <c r="C25" i="37"/>
  <c r="D25" i="37"/>
  <c r="C26" i="37"/>
  <c r="D26" i="37"/>
  <c r="C27" i="37"/>
  <c r="D27" i="37"/>
  <c r="C28" i="37"/>
  <c r="D28" i="37"/>
  <c r="C29" i="37"/>
  <c r="D29" i="37"/>
  <c r="C30" i="37"/>
  <c r="D30" i="37"/>
  <c r="C31" i="37"/>
  <c r="D31" i="37"/>
  <c r="C33" i="37"/>
  <c r="D33" i="37"/>
  <c r="C34" i="37"/>
  <c r="D34" i="37"/>
  <c r="C35" i="37"/>
  <c r="D35" i="37"/>
  <c r="C36" i="37"/>
  <c r="D36" i="37"/>
  <c r="C37" i="37"/>
  <c r="D37" i="37"/>
  <c r="C38" i="37"/>
  <c r="D38" i="37"/>
  <c r="D3" i="37"/>
  <c r="C3" i="37"/>
  <c r="E6" i="32"/>
  <c r="E14" i="32"/>
  <c r="E17" i="32"/>
  <c r="E18" i="32"/>
  <c r="E22" i="32"/>
  <c r="E25" i="32"/>
  <c r="E29" i="32"/>
  <c r="D28" i="32"/>
  <c r="D26" i="32"/>
  <c r="E26" i="32" s="1"/>
  <c r="D23" i="32"/>
  <c r="D17" i="32"/>
  <c r="D16" i="32"/>
  <c r="D11" i="32"/>
  <c r="D9" i="32"/>
  <c r="C28" i="32"/>
  <c r="E28" i="32" s="1"/>
  <c r="C26" i="32"/>
  <c r="C23" i="32"/>
  <c r="E23" i="32" s="1"/>
  <c r="C17" i="32"/>
  <c r="C16" i="32"/>
  <c r="E16" i="32" s="1"/>
  <c r="C11" i="32"/>
  <c r="E11" i="32" s="1"/>
  <c r="C9" i="32"/>
  <c r="E9" i="32" s="1"/>
  <c r="C4" i="32"/>
  <c r="E4" i="32" s="1"/>
  <c r="D4" i="32"/>
  <c r="C5" i="32"/>
  <c r="E5" i="32" s="1"/>
  <c r="D5" i="32"/>
  <c r="C6" i="32"/>
  <c r="D6" i="32"/>
  <c r="C7" i="32"/>
  <c r="E7" i="32" s="1"/>
  <c r="D7" i="32"/>
  <c r="C8" i="32"/>
  <c r="E8" i="32" s="1"/>
  <c r="D8" i="32"/>
  <c r="C10" i="32"/>
  <c r="D10" i="32"/>
  <c r="E10" i="32" s="1"/>
  <c r="C12" i="32"/>
  <c r="E12" i="32" s="1"/>
  <c r="D12" i="32"/>
  <c r="C13" i="32"/>
  <c r="E13" i="32" s="1"/>
  <c r="D13" i="32"/>
  <c r="C14" i="32"/>
  <c r="D14" i="32"/>
  <c r="C15" i="32"/>
  <c r="E15" i="32" s="1"/>
  <c r="D15" i="32"/>
  <c r="C18" i="32"/>
  <c r="D18" i="32"/>
  <c r="C19" i="32"/>
  <c r="E19" i="32" s="1"/>
  <c r="D19" i="32"/>
  <c r="C20" i="32"/>
  <c r="E20" i="32" s="1"/>
  <c r="D20" i="32"/>
  <c r="C21" i="32"/>
  <c r="E21" i="32" s="1"/>
  <c r="D21" i="32"/>
  <c r="C22" i="32"/>
  <c r="D22" i="32"/>
  <c r="C24" i="32"/>
  <c r="E24" i="32" s="1"/>
  <c r="D24" i="32"/>
  <c r="C25" i="32"/>
  <c r="D25" i="32"/>
  <c r="C27" i="32"/>
  <c r="E27" i="32" s="1"/>
  <c r="D27" i="32"/>
  <c r="C29" i="32"/>
  <c r="D29" i="32"/>
  <c r="C30" i="32"/>
  <c r="D30" i="32"/>
  <c r="E30" i="32" s="1"/>
  <c r="C31" i="32"/>
  <c r="E31" i="32" s="1"/>
  <c r="D31" i="32"/>
  <c r="D3" i="32"/>
  <c r="C3" i="32"/>
  <c r="E3" i="32" s="1"/>
  <c r="E3" i="38" l="1"/>
  <c r="E27" i="38"/>
  <c r="E8" i="38"/>
  <c r="E37" i="38"/>
  <c r="E38" i="38"/>
  <c r="E35" i="38"/>
  <c r="E34" i="38"/>
  <c r="E30" i="38"/>
  <c r="E6" i="38"/>
  <c r="E15" i="38"/>
  <c r="E14" i="38"/>
  <c r="E5" i="38"/>
  <c r="E26" i="38"/>
  <c r="E12" i="38"/>
  <c r="E18" i="38"/>
  <c r="E20" i="38"/>
  <c r="E36" i="38"/>
  <c r="E28" i="38"/>
  <c r="E13" i="38"/>
  <c r="E23" i="38"/>
  <c r="E19" i="38"/>
  <c r="E21" i="38"/>
  <c r="E25" i="38"/>
  <c r="E10" i="38"/>
  <c r="E33" i="38"/>
  <c r="E31" i="38"/>
  <c r="E17" i="38"/>
  <c r="E29" i="38"/>
  <c r="E24" i="38"/>
  <c r="E11" i="38"/>
  <c r="E4" i="38"/>
  <c r="E22" i="38"/>
  <c r="E16" i="38"/>
  <c r="E32" i="38"/>
  <c r="E7" i="38"/>
  <c r="D45" i="22" l="1"/>
  <c r="C45" i="22"/>
  <c r="E45" i="22" s="1"/>
  <c r="F46" i="33"/>
  <c r="C46" i="33"/>
  <c r="F47" i="33"/>
  <c r="C47" i="33"/>
  <c r="F33" i="33"/>
  <c r="C33" i="33"/>
  <c r="F40" i="33"/>
  <c r="C40" i="33"/>
  <c r="F43" i="33"/>
  <c r="C43" i="33"/>
  <c r="F34" i="33"/>
  <c r="C34" i="33"/>
  <c r="F44" i="33"/>
  <c r="C44" i="33"/>
  <c r="D35" i="33"/>
  <c r="C35" i="33"/>
  <c r="H29" i="33"/>
  <c r="F29" i="33"/>
  <c r="E29" i="33"/>
  <c r="D29" i="33"/>
  <c r="C29" i="33"/>
  <c r="H39" i="33"/>
  <c r="G39" i="33"/>
  <c r="F39" i="33"/>
  <c r="E39" i="33"/>
  <c r="D39" i="33"/>
  <c r="C39" i="33"/>
  <c r="I39" i="33" s="1"/>
  <c r="H12" i="33"/>
  <c r="F12" i="33"/>
  <c r="E12" i="33"/>
  <c r="D12" i="33"/>
  <c r="C12" i="33"/>
  <c r="H10" i="33"/>
  <c r="G10" i="33"/>
  <c r="F10" i="33"/>
  <c r="E10" i="33"/>
  <c r="D10" i="33"/>
  <c r="C10" i="33"/>
  <c r="H26" i="33"/>
  <c r="G26" i="33"/>
  <c r="F26" i="33"/>
  <c r="E26" i="33"/>
  <c r="D26" i="33"/>
  <c r="C26" i="33"/>
  <c r="H45" i="33"/>
  <c r="F45" i="33"/>
  <c r="E45" i="33"/>
  <c r="D45" i="33"/>
  <c r="C45" i="33"/>
  <c r="H9" i="33"/>
  <c r="G9" i="33"/>
  <c r="F9" i="33"/>
  <c r="E9" i="33"/>
  <c r="D9" i="33"/>
  <c r="C9" i="33"/>
  <c r="H7" i="33"/>
  <c r="G7" i="33"/>
  <c r="F7" i="33"/>
  <c r="E7" i="33"/>
  <c r="D7" i="33"/>
  <c r="C7" i="33"/>
  <c r="H42" i="33"/>
  <c r="G42" i="33"/>
  <c r="F42" i="33"/>
  <c r="E42" i="33"/>
  <c r="D42" i="33"/>
  <c r="C42" i="33"/>
  <c r="H13" i="33"/>
  <c r="G13" i="33"/>
  <c r="F13" i="33"/>
  <c r="E13" i="33"/>
  <c r="D13" i="33"/>
  <c r="C13" i="33"/>
  <c r="H6" i="33"/>
  <c r="G6" i="33"/>
  <c r="F6" i="33"/>
  <c r="E6" i="33"/>
  <c r="D6" i="33"/>
  <c r="C6" i="33"/>
  <c r="H11" i="33"/>
  <c r="G11" i="33"/>
  <c r="F11" i="33"/>
  <c r="E11" i="33"/>
  <c r="D11" i="33"/>
  <c r="C11" i="33"/>
  <c r="H31" i="33"/>
  <c r="F31" i="33"/>
  <c r="E31" i="33"/>
  <c r="D31" i="33"/>
  <c r="C31" i="33"/>
  <c r="H8" i="33"/>
  <c r="G8" i="33"/>
  <c r="F8" i="33"/>
  <c r="E8" i="33"/>
  <c r="D8" i="33"/>
  <c r="C8" i="33"/>
  <c r="H28" i="33"/>
  <c r="G28" i="33"/>
  <c r="F28" i="33"/>
  <c r="E28" i="33"/>
  <c r="D28" i="33"/>
  <c r="C28" i="33"/>
  <c r="H27" i="33"/>
  <c r="G27" i="33"/>
  <c r="F27" i="33"/>
  <c r="E27" i="33"/>
  <c r="D27" i="33"/>
  <c r="C27" i="33"/>
  <c r="H14" i="33"/>
  <c r="G14" i="33"/>
  <c r="F14" i="33"/>
  <c r="E14" i="33"/>
  <c r="D14" i="33"/>
  <c r="C14" i="33"/>
  <c r="H16" i="33"/>
  <c r="F16" i="33"/>
  <c r="E16" i="33"/>
  <c r="D16" i="33"/>
  <c r="C16" i="33"/>
  <c r="H18" i="33"/>
  <c r="G18" i="33"/>
  <c r="F18" i="33"/>
  <c r="E18" i="33"/>
  <c r="D18" i="33"/>
  <c r="C18" i="33"/>
  <c r="H22" i="33"/>
  <c r="G22" i="33"/>
  <c r="F22" i="33"/>
  <c r="E22" i="33"/>
  <c r="D22" i="33"/>
  <c r="C22" i="33"/>
  <c r="H32" i="33"/>
  <c r="F32" i="33"/>
  <c r="E32" i="33"/>
  <c r="D32" i="33"/>
  <c r="C32" i="33"/>
  <c r="H37" i="33"/>
  <c r="G37" i="33"/>
  <c r="F37" i="33"/>
  <c r="E37" i="33"/>
  <c r="D37" i="33"/>
  <c r="C37" i="33"/>
  <c r="H5" i="33"/>
  <c r="G5" i="33"/>
  <c r="F5" i="33"/>
  <c r="E5" i="33"/>
  <c r="D5" i="33"/>
  <c r="C5" i="33"/>
  <c r="H4" i="33"/>
  <c r="F4" i="33"/>
  <c r="E4" i="33"/>
  <c r="D4" i="33"/>
  <c r="C4" i="33"/>
  <c r="H15" i="33"/>
  <c r="G15" i="33"/>
  <c r="F15" i="33"/>
  <c r="E15" i="33"/>
  <c r="D15" i="33"/>
  <c r="C15" i="33"/>
  <c r="H25" i="33"/>
  <c r="G25" i="33"/>
  <c r="F25" i="33"/>
  <c r="E25" i="33"/>
  <c r="D25" i="33"/>
  <c r="C25" i="33"/>
  <c r="H23" i="33"/>
  <c r="G23" i="33"/>
  <c r="F23" i="33"/>
  <c r="E23" i="33"/>
  <c r="D23" i="33"/>
  <c r="C23" i="33"/>
  <c r="H20" i="33"/>
  <c r="G20" i="33"/>
  <c r="F20" i="33"/>
  <c r="E20" i="33"/>
  <c r="D20" i="33"/>
  <c r="C20" i="33"/>
  <c r="H36" i="33"/>
  <c r="F36" i="33"/>
  <c r="E36" i="33"/>
  <c r="D36" i="33"/>
  <c r="C36" i="33"/>
  <c r="H41" i="33"/>
  <c r="G41" i="33"/>
  <c r="F41" i="33"/>
  <c r="E41" i="33"/>
  <c r="D41" i="33"/>
  <c r="C41" i="33"/>
  <c r="H19" i="33"/>
  <c r="G19" i="33"/>
  <c r="F19" i="33"/>
  <c r="E19" i="33"/>
  <c r="D19" i="33"/>
  <c r="C19" i="33"/>
  <c r="H24" i="33"/>
  <c r="G24" i="33"/>
  <c r="F24" i="33"/>
  <c r="E24" i="33"/>
  <c r="D24" i="33"/>
  <c r="C24" i="33"/>
  <c r="H30" i="33"/>
  <c r="G30" i="33"/>
  <c r="F30" i="33"/>
  <c r="E30" i="33"/>
  <c r="D30" i="33"/>
  <c r="C30" i="33"/>
  <c r="H21" i="33"/>
  <c r="G21" i="33"/>
  <c r="F21" i="33"/>
  <c r="E21" i="33"/>
  <c r="D21" i="33"/>
  <c r="C21" i="33"/>
  <c r="H38" i="33"/>
  <c r="G38" i="33"/>
  <c r="F38" i="33"/>
  <c r="E38" i="33"/>
  <c r="D38" i="33"/>
  <c r="C38" i="33"/>
  <c r="H17" i="33"/>
  <c r="E17" i="33"/>
  <c r="D17" i="33"/>
  <c r="C17" i="33"/>
  <c r="G63" i="18"/>
  <c r="G64" i="18"/>
  <c r="G65" i="18"/>
  <c r="G66" i="18"/>
  <c r="G67" i="18"/>
  <c r="G68" i="18"/>
  <c r="F41" i="18"/>
  <c r="F63" i="18"/>
  <c r="F64" i="18"/>
  <c r="F65" i="18"/>
  <c r="F66" i="18"/>
  <c r="F67" i="18"/>
  <c r="F68" i="18"/>
  <c r="D63" i="18"/>
  <c r="D64" i="18"/>
  <c r="D65" i="18"/>
  <c r="D66" i="18"/>
  <c r="D67" i="18"/>
  <c r="D68" i="18"/>
  <c r="J41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15" i="18"/>
  <c r="G16" i="18"/>
  <c r="G17" i="18"/>
  <c r="G18" i="18"/>
  <c r="G19" i="18"/>
  <c r="G20" i="18"/>
  <c r="G21" i="18"/>
  <c r="G22" i="18"/>
  <c r="G23" i="18"/>
  <c r="G24" i="18"/>
  <c r="G25" i="18"/>
  <c r="G5" i="18"/>
  <c r="G6" i="18"/>
  <c r="G7" i="18"/>
  <c r="G8" i="18"/>
  <c r="G9" i="18"/>
  <c r="G10" i="18"/>
  <c r="G11" i="18"/>
  <c r="G12" i="18"/>
  <c r="G13" i="18"/>
  <c r="G14" i="18"/>
  <c r="G4" i="18"/>
  <c r="L4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4" i="18"/>
  <c r="N4" i="18"/>
  <c r="D22" i="19"/>
  <c r="I34" i="33" l="1"/>
  <c r="I46" i="33"/>
  <c r="I43" i="33"/>
  <c r="I47" i="33"/>
  <c r="I31" i="33"/>
  <c r="I17" i="33"/>
  <c r="I21" i="33"/>
  <c r="I24" i="33"/>
  <c r="I41" i="33"/>
  <c r="I20" i="33"/>
  <c r="I25" i="33"/>
  <c r="I4" i="33"/>
  <c r="I37" i="33"/>
  <c r="I22" i="33"/>
  <c r="I16" i="33"/>
  <c r="I27" i="33"/>
  <c r="I8" i="33"/>
  <c r="I11" i="33"/>
  <c r="I13" i="33"/>
  <c r="I7" i="33"/>
  <c r="I45" i="33"/>
  <c r="I10" i="33"/>
  <c r="I38" i="33"/>
  <c r="I30" i="33"/>
  <c r="I18" i="33"/>
  <c r="I14" i="33"/>
  <c r="I6" i="33"/>
  <c r="I42" i="33"/>
  <c r="I26" i="33"/>
  <c r="I19" i="33"/>
  <c r="I23" i="33"/>
  <c r="I15" i="33"/>
  <c r="I36" i="33"/>
  <c r="I5" i="33"/>
  <c r="I32" i="33"/>
  <c r="I28" i="33"/>
  <c r="I9" i="33"/>
  <c r="I12" i="33"/>
  <c r="I29" i="33"/>
  <c r="I44" i="33"/>
  <c r="I40" i="33"/>
  <c r="I33" i="33"/>
  <c r="G6" i="11" l="1"/>
  <c r="G7" i="11"/>
  <c r="D6" i="11"/>
  <c r="D7" i="11"/>
  <c r="W19" i="11"/>
  <c r="E19" i="11" s="1"/>
  <c r="E4" i="5" l="1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1" i="5"/>
  <c r="E62" i="5"/>
  <c r="E63" i="5"/>
  <c r="E64" i="5"/>
  <c r="E65" i="5"/>
  <c r="E66" i="5"/>
  <c r="E67" i="5"/>
  <c r="E3" i="5"/>
  <c r="Z22" i="11"/>
  <c r="G22" i="11" s="1"/>
  <c r="V22" i="11"/>
  <c r="D22" i="11" s="1"/>
  <c r="Z19" i="11"/>
  <c r="G19" i="11" s="1"/>
  <c r="Z20" i="11"/>
  <c r="G20" i="11" s="1"/>
  <c r="Z18" i="11"/>
  <c r="G18" i="11" s="1"/>
  <c r="V19" i="11"/>
  <c r="D19" i="11" s="1"/>
  <c r="V20" i="11"/>
  <c r="D20" i="11" s="1"/>
  <c r="V18" i="11"/>
  <c r="D18" i="11" s="1"/>
  <c r="Z8" i="11"/>
  <c r="G8" i="11" s="1"/>
  <c r="V8" i="11"/>
  <c r="D8" i="11" s="1"/>
  <c r="Z4" i="11"/>
  <c r="G4" i="11" s="1"/>
  <c r="Z3" i="11"/>
  <c r="G3" i="11" s="1"/>
  <c r="V4" i="11"/>
  <c r="D4" i="11" s="1"/>
  <c r="V3" i="11"/>
  <c r="D3" i="11" s="1"/>
  <c r="G6" i="17" l="1"/>
  <c r="D6" i="17"/>
  <c r="G5" i="17"/>
  <c r="D5" i="17"/>
  <c r="G4" i="17"/>
  <c r="D4" i="17"/>
  <c r="D9" i="31"/>
  <c r="C9" i="31"/>
  <c r="D5" i="31"/>
  <c r="C5" i="31"/>
  <c r="D27" i="31"/>
  <c r="C27" i="31"/>
  <c r="D19" i="31"/>
  <c r="C19" i="31"/>
  <c r="D14" i="31"/>
  <c r="C14" i="31"/>
  <c r="D30" i="31"/>
  <c r="C30" i="31"/>
  <c r="D16" i="31"/>
  <c r="C16" i="31"/>
  <c r="D20" i="31"/>
  <c r="C20" i="31"/>
  <c r="D28" i="31"/>
  <c r="C28" i="31"/>
  <c r="D7" i="31"/>
  <c r="C7" i="31"/>
  <c r="D4" i="31"/>
  <c r="C4" i="31"/>
  <c r="D17" i="31"/>
  <c r="C17" i="31"/>
  <c r="D25" i="31"/>
  <c r="C25" i="31"/>
  <c r="D18" i="31"/>
  <c r="C18" i="31"/>
  <c r="D12" i="31"/>
  <c r="C12" i="31"/>
  <c r="D21" i="31"/>
  <c r="C21" i="31"/>
  <c r="D3" i="31"/>
  <c r="C3" i="31"/>
  <c r="D24" i="31"/>
  <c r="C24" i="31"/>
  <c r="D23" i="31"/>
  <c r="C23" i="31"/>
  <c r="D26" i="31"/>
  <c r="C26" i="31"/>
  <c r="D8" i="31"/>
  <c r="C8" i="31"/>
  <c r="D11" i="31"/>
  <c r="C11" i="31"/>
  <c r="D15" i="31"/>
  <c r="C15" i="31"/>
  <c r="D6" i="31"/>
  <c r="C6" i="31"/>
  <c r="D13" i="31"/>
  <c r="C13" i="31"/>
  <c r="D22" i="31"/>
  <c r="C22" i="31"/>
  <c r="D29" i="31"/>
  <c r="C29" i="31"/>
  <c r="D10" i="31"/>
  <c r="C10" i="31"/>
  <c r="C4" i="30"/>
  <c r="D4" i="30"/>
  <c r="C5" i="30"/>
  <c r="D5" i="30"/>
  <c r="C6" i="30"/>
  <c r="D6" i="30"/>
  <c r="C7" i="30"/>
  <c r="D7" i="30"/>
  <c r="C8" i="30"/>
  <c r="D8" i="30"/>
  <c r="C9" i="30"/>
  <c r="D9" i="30"/>
  <c r="C10" i="30"/>
  <c r="D10" i="30"/>
  <c r="C11" i="30"/>
  <c r="D11" i="30"/>
  <c r="C12" i="30"/>
  <c r="D12" i="30"/>
  <c r="C13" i="30"/>
  <c r="D13" i="30"/>
  <c r="C15" i="30"/>
  <c r="D15" i="30"/>
  <c r="C16" i="30"/>
  <c r="D16" i="30"/>
  <c r="C17" i="30"/>
  <c r="D17" i="30"/>
  <c r="C18" i="30"/>
  <c r="D18" i="30"/>
  <c r="C19" i="30"/>
  <c r="D19" i="30"/>
  <c r="C20" i="30"/>
  <c r="D20" i="30"/>
  <c r="C21" i="30"/>
  <c r="D21" i="30"/>
  <c r="C22" i="30"/>
  <c r="D22" i="30"/>
  <c r="C23" i="30"/>
  <c r="D23" i="30"/>
  <c r="C24" i="30"/>
  <c r="D24" i="30"/>
  <c r="C25" i="30"/>
  <c r="D25" i="30"/>
  <c r="C26" i="30"/>
  <c r="D26" i="30"/>
  <c r="C27" i="30"/>
  <c r="D27" i="30"/>
  <c r="C28" i="30"/>
  <c r="D28" i="30"/>
  <c r="C29" i="30"/>
  <c r="D29" i="30"/>
  <c r="C30" i="30"/>
  <c r="D30" i="30"/>
  <c r="C31" i="30"/>
  <c r="D31" i="30"/>
  <c r="D3" i="30"/>
  <c r="C3" i="30"/>
  <c r="D3" i="29"/>
  <c r="C3" i="29"/>
  <c r="E3" i="29" s="1"/>
  <c r="D4" i="29"/>
  <c r="C4" i="29"/>
  <c r="D5" i="29"/>
  <c r="C5" i="29"/>
  <c r="E5" i="29" s="1"/>
  <c r="C4" i="26"/>
  <c r="D4" i="26"/>
  <c r="C5" i="26"/>
  <c r="D5" i="26"/>
  <c r="C6" i="26"/>
  <c r="D6" i="26"/>
  <c r="C7" i="26"/>
  <c r="D7" i="26"/>
  <c r="C8" i="26"/>
  <c r="D8" i="26"/>
  <c r="C9" i="26"/>
  <c r="D9" i="26"/>
  <c r="C10" i="26"/>
  <c r="D10" i="26"/>
  <c r="C11" i="26"/>
  <c r="D11" i="26"/>
  <c r="C12" i="26"/>
  <c r="D12" i="26"/>
  <c r="C13" i="26"/>
  <c r="D13" i="26"/>
  <c r="C14" i="26"/>
  <c r="D14" i="26"/>
  <c r="C15" i="26"/>
  <c r="D15" i="26"/>
  <c r="C16" i="26"/>
  <c r="D16" i="26"/>
  <c r="C17" i="26"/>
  <c r="D17" i="26"/>
  <c r="C18" i="26"/>
  <c r="D18" i="26"/>
  <c r="C19" i="26"/>
  <c r="D19" i="26"/>
  <c r="C20" i="26"/>
  <c r="D20" i="26"/>
  <c r="C21" i="26"/>
  <c r="D21" i="26"/>
  <c r="C22" i="26"/>
  <c r="D22" i="26"/>
  <c r="C23" i="26"/>
  <c r="D23" i="26"/>
  <c r="C24" i="26"/>
  <c r="D24" i="26"/>
  <c r="C25" i="26"/>
  <c r="D25" i="26"/>
  <c r="C26" i="26"/>
  <c r="D26" i="26"/>
  <c r="C27" i="26"/>
  <c r="D27" i="26"/>
  <c r="C28" i="26"/>
  <c r="D28" i="26"/>
  <c r="C29" i="26"/>
  <c r="D29" i="26"/>
  <c r="C30" i="26"/>
  <c r="D30" i="26"/>
  <c r="C31" i="26"/>
  <c r="D31" i="26"/>
  <c r="D3" i="26"/>
  <c r="C3" i="26"/>
  <c r="E13" i="31" l="1"/>
  <c r="E15" i="31"/>
  <c r="E8" i="31"/>
  <c r="E23" i="31"/>
  <c r="E3" i="31"/>
  <c r="E12" i="31"/>
  <c r="E25" i="31"/>
  <c r="E4" i="29"/>
  <c r="E10" i="31"/>
  <c r="E22" i="31"/>
  <c r="E6" i="31"/>
  <c r="E11" i="31"/>
  <c r="E26" i="31"/>
  <c r="E24" i="31"/>
  <c r="E4" i="31"/>
  <c r="E16" i="31"/>
  <c r="E14" i="31"/>
  <c r="E27" i="31"/>
  <c r="E9" i="31"/>
  <c r="E7" i="31"/>
  <c r="E5" i="31"/>
  <c r="F4" i="24"/>
  <c r="E4" i="24"/>
  <c r="D4" i="24"/>
  <c r="C4" i="24"/>
  <c r="F5" i="24"/>
  <c r="E5" i="24"/>
  <c r="D5" i="24"/>
  <c r="C5" i="24"/>
  <c r="F6" i="24"/>
  <c r="E6" i="24"/>
  <c r="D6" i="24"/>
  <c r="C6" i="24"/>
  <c r="C5" i="23"/>
  <c r="D5" i="23"/>
  <c r="E5" i="23"/>
  <c r="F5" i="23"/>
  <c r="C6" i="23"/>
  <c r="D6" i="23"/>
  <c r="E6" i="23"/>
  <c r="F6" i="23"/>
  <c r="C7" i="23"/>
  <c r="D7" i="23"/>
  <c r="E7" i="23"/>
  <c r="F7" i="23"/>
  <c r="C8" i="23"/>
  <c r="D8" i="23"/>
  <c r="E8" i="23"/>
  <c r="F8" i="23"/>
  <c r="C9" i="23"/>
  <c r="D9" i="23"/>
  <c r="E9" i="23"/>
  <c r="F9" i="23"/>
  <c r="C10" i="23"/>
  <c r="D10" i="23"/>
  <c r="E10" i="23"/>
  <c r="F10" i="23"/>
  <c r="C11" i="23"/>
  <c r="D11" i="23"/>
  <c r="E11" i="23"/>
  <c r="F11" i="23"/>
  <c r="C12" i="23"/>
  <c r="D12" i="23"/>
  <c r="E12" i="23"/>
  <c r="F12" i="23"/>
  <c r="C13" i="23"/>
  <c r="D13" i="23"/>
  <c r="E13" i="23"/>
  <c r="F13" i="23"/>
  <c r="C14" i="23"/>
  <c r="D14" i="23"/>
  <c r="E14" i="23"/>
  <c r="F14" i="23"/>
  <c r="C15" i="23"/>
  <c r="D15" i="23"/>
  <c r="E15" i="23"/>
  <c r="F15" i="23"/>
  <c r="C16" i="23"/>
  <c r="D16" i="23"/>
  <c r="E16" i="23"/>
  <c r="F16" i="23"/>
  <c r="C17" i="23"/>
  <c r="D17" i="23"/>
  <c r="E17" i="23"/>
  <c r="F17" i="23"/>
  <c r="C18" i="23"/>
  <c r="D18" i="23"/>
  <c r="E18" i="23"/>
  <c r="F18" i="23"/>
  <c r="C19" i="23"/>
  <c r="D19" i="23"/>
  <c r="E19" i="23"/>
  <c r="F19" i="23"/>
  <c r="C20" i="23"/>
  <c r="D20" i="23"/>
  <c r="E20" i="23"/>
  <c r="F20" i="23"/>
  <c r="C21" i="23"/>
  <c r="D21" i="23"/>
  <c r="E21" i="23"/>
  <c r="F21" i="23"/>
  <c r="C22" i="23"/>
  <c r="D22" i="23"/>
  <c r="E22" i="23"/>
  <c r="F22" i="23"/>
  <c r="C23" i="23"/>
  <c r="D23" i="23"/>
  <c r="E23" i="23"/>
  <c r="F23" i="23"/>
  <c r="C24" i="23"/>
  <c r="D24" i="23"/>
  <c r="E24" i="23"/>
  <c r="F24" i="23"/>
  <c r="C25" i="23"/>
  <c r="D25" i="23"/>
  <c r="E25" i="23"/>
  <c r="F25" i="23"/>
  <c r="C26" i="23"/>
  <c r="D26" i="23"/>
  <c r="E26" i="23"/>
  <c r="F26" i="23"/>
  <c r="C27" i="23"/>
  <c r="D27" i="23"/>
  <c r="E27" i="23"/>
  <c r="F27" i="23"/>
  <c r="C28" i="23"/>
  <c r="D28" i="23"/>
  <c r="E28" i="23"/>
  <c r="F28" i="23"/>
  <c r="C29" i="23"/>
  <c r="D29" i="23"/>
  <c r="E29" i="23"/>
  <c r="F29" i="23"/>
  <c r="C30" i="23"/>
  <c r="D30" i="23"/>
  <c r="E30" i="23"/>
  <c r="F30" i="23"/>
  <c r="C31" i="23"/>
  <c r="D31" i="23"/>
  <c r="E31" i="23"/>
  <c r="F31" i="23"/>
  <c r="C32" i="23"/>
  <c r="D32" i="23"/>
  <c r="E32" i="23"/>
  <c r="F32" i="23"/>
  <c r="F4" i="23"/>
  <c r="D4" i="23"/>
  <c r="E4" i="23"/>
  <c r="C4" i="23"/>
  <c r="G6" i="24" l="1"/>
  <c r="G5" i="24"/>
  <c r="G4" i="24"/>
  <c r="H5" i="24"/>
  <c r="H4" i="24"/>
  <c r="C46" i="22"/>
  <c r="D46" i="22"/>
  <c r="E46" i="22" l="1"/>
  <c r="D10" i="22"/>
  <c r="C10" i="22"/>
  <c r="D34" i="22"/>
  <c r="C34" i="22"/>
  <c r="D38" i="22"/>
  <c r="C38" i="22"/>
  <c r="D20" i="22"/>
  <c r="C20" i="22"/>
  <c r="D43" i="22"/>
  <c r="C36" i="22"/>
  <c r="D26" i="22"/>
  <c r="C26" i="22"/>
  <c r="D42" i="22"/>
  <c r="C42" i="22"/>
  <c r="D16" i="22"/>
  <c r="C16" i="22"/>
  <c r="D5" i="22"/>
  <c r="C5" i="22"/>
  <c r="D24" i="22"/>
  <c r="C24" i="22"/>
  <c r="D44" i="22"/>
  <c r="C44" i="22"/>
  <c r="D8" i="22"/>
  <c r="C8" i="22"/>
  <c r="D12" i="22"/>
  <c r="C12" i="22"/>
  <c r="D40" i="22"/>
  <c r="C40" i="22"/>
  <c r="D15" i="22"/>
  <c r="C15" i="22"/>
  <c r="D6" i="22"/>
  <c r="C6" i="22"/>
  <c r="D33" i="22"/>
  <c r="C33" i="22"/>
  <c r="D27" i="22"/>
  <c r="C27" i="22"/>
  <c r="D9" i="22"/>
  <c r="C9" i="22"/>
  <c r="D30" i="22"/>
  <c r="C30" i="22"/>
  <c r="D21" i="22"/>
  <c r="C21" i="22"/>
  <c r="D11" i="22"/>
  <c r="C11" i="22"/>
  <c r="D13" i="22"/>
  <c r="C13" i="22"/>
  <c r="D29" i="22"/>
  <c r="C29" i="22"/>
  <c r="D22" i="22"/>
  <c r="C22" i="22"/>
  <c r="D31" i="22"/>
  <c r="C31" i="22"/>
  <c r="D37" i="22"/>
  <c r="C37" i="22"/>
  <c r="D4" i="22"/>
  <c r="C4" i="22"/>
  <c r="D3" i="22"/>
  <c r="C3" i="22"/>
  <c r="D14" i="22"/>
  <c r="C14" i="22"/>
  <c r="D25" i="22"/>
  <c r="C25" i="22"/>
  <c r="D19" i="22"/>
  <c r="C19" i="22"/>
  <c r="D17" i="22"/>
  <c r="C17" i="22"/>
  <c r="D39" i="22"/>
  <c r="C39" i="22"/>
  <c r="D41" i="22"/>
  <c r="C41" i="22"/>
  <c r="D18" i="22"/>
  <c r="C18" i="22"/>
  <c r="D23" i="22"/>
  <c r="C23" i="22"/>
  <c r="D32" i="22"/>
  <c r="C32" i="22"/>
  <c r="D28" i="22"/>
  <c r="C28" i="22"/>
  <c r="D35" i="22"/>
  <c r="C35" i="22"/>
  <c r="D7" i="22"/>
  <c r="C7" i="22"/>
  <c r="C41" i="21"/>
  <c r="D41" i="21"/>
  <c r="C42" i="21"/>
  <c r="D42" i="21"/>
  <c r="C43" i="21"/>
  <c r="D43" i="21"/>
  <c r="C44" i="21"/>
  <c r="D44" i="21"/>
  <c r="C45" i="21"/>
  <c r="D45" i="21"/>
  <c r="C46" i="21"/>
  <c r="D46" i="21"/>
  <c r="C47" i="21"/>
  <c r="D47" i="21"/>
  <c r="C48" i="21"/>
  <c r="D48" i="21"/>
  <c r="C49" i="21"/>
  <c r="D49" i="21"/>
  <c r="C50" i="21"/>
  <c r="D50" i="21"/>
  <c r="C51" i="21"/>
  <c r="D51" i="21"/>
  <c r="C52" i="21"/>
  <c r="D52" i="21"/>
  <c r="C53" i="21"/>
  <c r="D53" i="21"/>
  <c r="C54" i="21"/>
  <c r="D54" i="21"/>
  <c r="C55" i="21"/>
  <c r="D55" i="21"/>
  <c r="C56" i="21"/>
  <c r="D56" i="21"/>
  <c r="C57" i="21"/>
  <c r="D57" i="21"/>
  <c r="C58" i="21"/>
  <c r="D58" i="21"/>
  <c r="C59" i="21"/>
  <c r="D59" i="21"/>
  <c r="C60" i="21"/>
  <c r="D60" i="21"/>
  <c r="C61" i="21"/>
  <c r="D61" i="21"/>
  <c r="C62" i="21"/>
  <c r="D62" i="21"/>
  <c r="C63" i="21"/>
  <c r="D63" i="21"/>
  <c r="C64" i="21"/>
  <c r="D64" i="21"/>
  <c r="C65" i="21"/>
  <c r="D65" i="21"/>
  <c r="C66" i="21"/>
  <c r="D66" i="21"/>
  <c r="C67" i="21"/>
  <c r="D67" i="21"/>
  <c r="D40" i="21"/>
  <c r="C40" i="21"/>
  <c r="C39" i="21"/>
  <c r="C13" i="21"/>
  <c r="D13" i="21"/>
  <c r="C14" i="21"/>
  <c r="D14" i="21"/>
  <c r="C15" i="21"/>
  <c r="D15" i="21"/>
  <c r="C16" i="21"/>
  <c r="D16" i="21"/>
  <c r="C17" i="21"/>
  <c r="D17" i="21"/>
  <c r="C18" i="21"/>
  <c r="D18" i="21"/>
  <c r="C19" i="21"/>
  <c r="D19" i="21"/>
  <c r="C20" i="21"/>
  <c r="D20" i="21"/>
  <c r="C21" i="21"/>
  <c r="D21" i="21"/>
  <c r="C22" i="21"/>
  <c r="D22" i="21"/>
  <c r="C23" i="21"/>
  <c r="D23" i="21"/>
  <c r="C24" i="21"/>
  <c r="D24" i="21"/>
  <c r="C25" i="21"/>
  <c r="D25" i="21"/>
  <c r="C26" i="21"/>
  <c r="D26" i="21"/>
  <c r="C27" i="21"/>
  <c r="D27" i="21"/>
  <c r="C28" i="21"/>
  <c r="D28" i="21"/>
  <c r="C29" i="21"/>
  <c r="D29" i="21"/>
  <c r="C30" i="21"/>
  <c r="D30" i="21"/>
  <c r="C31" i="21"/>
  <c r="D31" i="21"/>
  <c r="C32" i="21"/>
  <c r="D32" i="21"/>
  <c r="C33" i="21"/>
  <c r="D33" i="21"/>
  <c r="C34" i="21"/>
  <c r="D34" i="21"/>
  <c r="C35" i="21"/>
  <c r="D35" i="21"/>
  <c r="C36" i="21"/>
  <c r="D36" i="21"/>
  <c r="C37" i="21"/>
  <c r="D37" i="21"/>
  <c r="C38" i="21"/>
  <c r="D38" i="21"/>
  <c r="C4" i="21"/>
  <c r="D4" i="21"/>
  <c r="C5" i="21"/>
  <c r="D5" i="21"/>
  <c r="C6" i="21"/>
  <c r="D6" i="21"/>
  <c r="C7" i="21"/>
  <c r="D7" i="21"/>
  <c r="C8" i="21"/>
  <c r="D8" i="21"/>
  <c r="C9" i="21"/>
  <c r="D9" i="21"/>
  <c r="C10" i="21"/>
  <c r="D10" i="21"/>
  <c r="C11" i="21"/>
  <c r="D11" i="21"/>
  <c r="C12" i="21"/>
  <c r="D12" i="21"/>
  <c r="D3" i="21"/>
  <c r="C3" i="21"/>
  <c r="E38" i="22" l="1"/>
  <c r="E10" i="22"/>
  <c r="E35" i="22"/>
  <c r="E32" i="22"/>
  <c r="E18" i="22"/>
  <c r="E39" i="22"/>
  <c r="E19" i="22"/>
  <c r="E14" i="22"/>
  <c r="E4" i="22"/>
  <c r="E7" i="22"/>
  <c r="E28" i="22"/>
  <c r="E23" i="22"/>
  <c r="E41" i="22"/>
  <c r="E17" i="22"/>
  <c r="E25" i="22"/>
  <c r="E3" i="22"/>
  <c r="E37" i="22"/>
  <c r="E22" i="22"/>
  <c r="E13" i="22"/>
  <c r="E21" i="22"/>
  <c r="E9" i="22"/>
  <c r="E33" i="22"/>
  <c r="E15" i="22"/>
  <c r="E12" i="22"/>
  <c r="E44" i="22"/>
  <c r="E5" i="22"/>
  <c r="E42" i="22"/>
  <c r="E31" i="22"/>
  <c r="E29" i="22"/>
  <c r="E11" i="22"/>
  <c r="E30" i="22"/>
  <c r="E27" i="22"/>
  <c r="E6" i="22"/>
  <c r="E40" i="22"/>
  <c r="E8" i="22"/>
  <c r="E24" i="22"/>
  <c r="E16" i="22"/>
  <c r="E26" i="22"/>
  <c r="E43" i="22"/>
  <c r="E20" i="22"/>
  <c r="E34" i="22"/>
  <c r="G47" i="19"/>
  <c r="F47" i="19"/>
  <c r="D47" i="19"/>
  <c r="C47" i="19"/>
  <c r="G48" i="19"/>
  <c r="F48" i="19"/>
  <c r="D48" i="19"/>
  <c r="C48" i="19"/>
  <c r="G34" i="19"/>
  <c r="F34" i="19"/>
  <c r="D34" i="19"/>
  <c r="C34" i="19"/>
  <c r="G41" i="19"/>
  <c r="F41" i="19"/>
  <c r="D41" i="19"/>
  <c r="C41" i="19"/>
  <c r="G44" i="19"/>
  <c r="F44" i="19"/>
  <c r="D44" i="19"/>
  <c r="C44" i="19"/>
  <c r="G35" i="19"/>
  <c r="F35" i="19"/>
  <c r="D35" i="19"/>
  <c r="C35" i="19"/>
  <c r="G4" i="19"/>
  <c r="F4" i="19"/>
  <c r="D4" i="19"/>
  <c r="C4" i="19"/>
  <c r="G45" i="19"/>
  <c r="F45" i="19"/>
  <c r="D45" i="19"/>
  <c r="C45" i="19"/>
  <c r="D36" i="19"/>
  <c r="C36" i="19"/>
  <c r="H30" i="19"/>
  <c r="G30" i="19"/>
  <c r="F30" i="19"/>
  <c r="E30" i="19"/>
  <c r="D30" i="19"/>
  <c r="C30" i="19"/>
  <c r="H40" i="19"/>
  <c r="G40" i="19"/>
  <c r="F40" i="19"/>
  <c r="E40" i="19"/>
  <c r="D40" i="19"/>
  <c r="C40" i="19"/>
  <c r="H13" i="19"/>
  <c r="G13" i="19"/>
  <c r="F13" i="19"/>
  <c r="E13" i="19"/>
  <c r="D13" i="19"/>
  <c r="C13" i="19"/>
  <c r="H11" i="19"/>
  <c r="G11" i="19"/>
  <c r="F11" i="19"/>
  <c r="E11" i="19"/>
  <c r="D11" i="19"/>
  <c r="C11" i="19"/>
  <c r="H27" i="19"/>
  <c r="G27" i="19"/>
  <c r="F27" i="19"/>
  <c r="E27" i="19"/>
  <c r="D27" i="19"/>
  <c r="C27" i="19"/>
  <c r="H46" i="19"/>
  <c r="G46" i="19"/>
  <c r="F46" i="19"/>
  <c r="E46" i="19"/>
  <c r="D46" i="19"/>
  <c r="C46" i="19"/>
  <c r="H10" i="19"/>
  <c r="G10" i="19"/>
  <c r="F10" i="19"/>
  <c r="E10" i="19"/>
  <c r="D10" i="19"/>
  <c r="C10" i="19"/>
  <c r="H8" i="19"/>
  <c r="G8" i="19"/>
  <c r="F8" i="19"/>
  <c r="E8" i="19"/>
  <c r="D8" i="19"/>
  <c r="C8" i="19"/>
  <c r="H43" i="19"/>
  <c r="G43" i="19"/>
  <c r="F43" i="19"/>
  <c r="E43" i="19"/>
  <c r="D43" i="19"/>
  <c r="C43" i="19"/>
  <c r="H14" i="19"/>
  <c r="G14" i="19"/>
  <c r="F14" i="19"/>
  <c r="E14" i="19"/>
  <c r="D14" i="19"/>
  <c r="C14" i="19"/>
  <c r="H7" i="19"/>
  <c r="G7" i="19"/>
  <c r="F7" i="19"/>
  <c r="E7" i="19"/>
  <c r="D7" i="19"/>
  <c r="C7" i="19"/>
  <c r="H12" i="19"/>
  <c r="G12" i="19"/>
  <c r="F12" i="19"/>
  <c r="E12" i="19"/>
  <c r="D12" i="19"/>
  <c r="C12" i="19"/>
  <c r="H32" i="19"/>
  <c r="G32" i="19"/>
  <c r="F32" i="19"/>
  <c r="E32" i="19"/>
  <c r="D32" i="19"/>
  <c r="C32" i="19"/>
  <c r="H9" i="19"/>
  <c r="G9" i="19"/>
  <c r="F9" i="19"/>
  <c r="E9" i="19"/>
  <c r="D9" i="19"/>
  <c r="C9" i="19"/>
  <c r="H29" i="19"/>
  <c r="G29" i="19"/>
  <c r="F29" i="19"/>
  <c r="E29" i="19"/>
  <c r="D29" i="19"/>
  <c r="C29" i="19"/>
  <c r="H28" i="19"/>
  <c r="G28" i="19"/>
  <c r="F28" i="19"/>
  <c r="E28" i="19"/>
  <c r="D28" i="19"/>
  <c r="C28" i="19"/>
  <c r="H15" i="19"/>
  <c r="G15" i="19"/>
  <c r="F15" i="19"/>
  <c r="E15" i="19"/>
  <c r="D15" i="19"/>
  <c r="C15" i="19"/>
  <c r="H17" i="19"/>
  <c r="G17" i="19"/>
  <c r="F17" i="19"/>
  <c r="E17" i="19"/>
  <c r="D17" i="19"/>
  <c r="C17" i="19"/>
  <c r="H19" i="19"/>
  <c r="G19" i="19"/>
  <c r="F19" i="19"/>
  <c r="E19" i="19"/>
  <c r="D19" i="19"/>
  <c r="C19" i="19"/>
  <c r="H23" i="19"/>
  <c r="G23" i="19"/>
  <c r="F23" i="19"/>
  <c r="E23" i="19"/>
  <c r="D23" i="19"/>
  <c r="C23" i="19"/>
  <c r="H33" i="19"/>
  <c r="G33" i="19"/>
  <c r="F33" i="19"/>
  <c r="E33" i="19"/>
  <c r="D33" i="19"/>
  <c r="C33" i="19"/>
  <c r="H38" i="19"/>
  <c r="G38" i="19"/>
  <c r="F38" i="19"/>
  <c r="E38" i="19"/>
  <c r="D38" i="19"/>
  <c r="C38" i="19"/>
  <c r="H6" i="19"/>
  <c r="G6" i="19"/>
  <c r="F6" i="19"/>
  <c r="E6" i="19"/>
  <c r="D6" i="19"/>
  <c r="C6" i="19"/>
  <c r="H5" i="19"/>
  <c r="G5" i="19"/>
  <c r="F5" i="19"/>
  <c r="E5" i="19"/>
  <c r="D5" i="19"/>
  <c r="C5" i="19"/>
  <c r="H16" i="19"/>
  <c r="G16" i="19"/>
  <c r="F16" i="19"/>
  <c r="E16" i="19"/>
  <c r="D16" i="19"/>
  <c r="C16" i="19"/>
  <c r="H26" i="19"/>
  <c r="G26" i="19"/>
  <c r="F26" i="19"/>
  <c r="E26" i="19"/>
  <c r="D26" i="19"/>
  <c r="C26" i="19"/>
  <c r="H24" i="19"/>
  <c r="G24" i="19"/>
  <c r="F24" i="19"/>
  <c r="E24" i="19"/>
  <c r="D24" i="19"/>
  <c r="C24" i="19"/>
  <c r="H21" i="19"/>
  <c r="G21" i="19"/>
  <c r="F21" i="19"/>
  <c r="E21" i="19"/>
  <c r="D21" i="19"/>
  <c r="C21" i="19"/>
  <c r="H37" i="19"/>
  <c r="G37" i="19"/>
  <c r="F37" i="19"/>
  <c r="E37" i="19"/>
  <c r="D37" i="19"/>
  <c r="C37" i="19"/>
  <c r="H42" i="19"/>
  <c r="G42" i="19"/>
  <c r="F42" i="19"/>
  <c r="E42" i="19"/>
  <c r="D42" i="19"/>
  <c r="C42" i="19"/>
  <c r="H20" i="19"/>
  <c r="G20" i="19"/>
  <c r="F20" i="19"/>
  <c r="E20" i="19"/>
  <c r="D20" i="19"/>
  <c r="C20" i="19"/>
  <c r="H25" i="19"/>
  <c r="G25" i="19"/>
  <c r="F25" i="19"/>
  <c r="E25" i="19"/>
  <c r="D25" i="19"/>
  <c r="C25" i="19"/>
  <c r="H31" i="19"/>
  <c r="G31" i="19"/>
  <c r="F31" i="19"/>
  <c r="E31" i="19"/>
  <c r="D31" i="19"/>
  <c r="C31" i="19"/>
  <c r="H22" i="19"/>
  <c r="G22" i="19"/>
  <c r="F22" i="19"/>
  <c r="E22" i="19"/>
  <c r="C22" i="19"/>
  <c r="H39" i="19"/>
  <c r="G39" i="19"/>
  <c r="F39" i="19"/>
  <c r="E39" i="19"/>
  <c r="D39" i="19"/>
  <c r="C39" i="19"/>
  <c r="H18" i="19"/>
  <c r="G18" i="19"/>
  <c r="F18" i="19"/>
  <c r="E18" i="19"/>
  <c r="D18" i="19"/>
  <c r="C18" i="19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41" i="18"/>
  <c r="C5" i="18"/>
  <c r="E5" i="18"/>
  <c r="F5" i="18"/>
  <c r="H5" i="18"/>
  <c r="C6" i="18"/>
  <c r="E6" i="18"/>
  <c r="F6" i="18"/>
  <c r="H6" i="18"/>
  <c r="C7" i="18"/>
  <c r="E7" i="18"/>
  <c r="F7" i="18"/>
  <c r="H7" i="18"/>
  <c r="C8" i="18"/>
  <c r="E8" i="18"/>
  <c r="F8" i="18"/>
  <c r="H8" i="18"/>
  <c r="C9" i="18"/>
  <c r="E9" i="18"/>
  <c r="F9" i="18"/>
  <c r="H9" i="18"/>
  <c r="C10" i="18"/>
  <c r="E10" i="18"/>
  <c r="F10" i="18"/>
  <c r="H10" i="18"/>
  <c r="C11" i="18"/>
  <c r="E11" i="18"/>
  <c r="F11" i="18"/>
  <c r="H11" i="18"/>
  <c r="C12" i="18"/>
  <c r="E12" i="18"/>
  <c r="F12" i="18"/>
  <c r="H12" i="18"/>
  <c r="C13" i="18"/>
  <c r="E13" i="18"/>
  <c r="F13" i="18"/>
  <c r="H13" i="18"/>
  <c r="C14" i="18"/>
  <c r="E14" i="18"/>
  <c r="F14" i="18"/>
  <c r="H14" i="18"/>
  <c r="C15" i="18"/>
  <c r="E15" i="18"/>
  <c r="F15" i="18"/>
  <c r="H15" i="18"/>
  <c r="C16" i="18"/>
  <c r="E16" i="18"/>
  <c r="F16" i="18"/>
  <c r="H16" i="18"/>
  <c r="C17" i="18"/>
  <c r="E17" i="18"/>
  <c r="F17" i="18"/>
  <c r="H17" i="18"/>
  <c r="C18" i="18"/>
  <c r="E18" i="18"/>
  <c r="F18" i="18"/>
  <c r="H18" i="18"/>
  <c r="C19" i="18"/>
  <c r="E19" i="18"/>
  <c r="F19" i="18"/>
  <c r="H19" i="18"/>
  <c r="C20" i="18"/>
  <c r="E20" i="18"/>
  <c r="F20" i="18"/>
  <c r="H20" i="18"/>
  <c r="C21" i="18"/>
  <c r="E21" i="18"/>
  <c r="F21" i="18"/>
  <c r="H21" i="18"/>
  <c r="C22" i="18"/>
  <c r="E22" i="18"/>
  <c r="F22" i="18"/>
  <c r="H22" i="18"/>
  <c r="C23" i="18"/>
  <c r="E23" i="18"/>
  <c r="F23" i="18"/>
  <c r="H23" i="18"/>
  <c r="C24" i="18"/>
  <c r="E24" i="18"/>
  <c r="F24" i="18"/>
  <c r="H24" i="18"/>
  <c r="C25" i="18"/>
  <c r="E25" i="18"/>
  <c r="F25" i="18"/>
  <c r="H25" i="18"/>
  <c r="C26" i="18"/>
  <c r="E26" i="18"/>
  <c r="F26" i="18"/>
  <c r="H26" i="18"/>
  <c r="C27" i="18"/>
  <c r="E27" i="18"/>
  <c r="F27" i="18"/>
  <c r="H27" i="18"/>
  <c r="C28" i="18"/>
  <c r="E28" i="18"/>
  <c r="F28" i="18"/>
  <c r="H28" i="18"/>
  <c r="C29" i="18"/>
  <c r="E29" i="18"/>
  <c r="F29" i="18"/>
  <c r="H29" i="18"/>
  <c r="C30" i="18"/>
  <c r="E30" i="18"/>
  <c r="F30" i="18"/>
  <c r="H30" i="18"/>
  <c r="C31" i="18"/>
  <c r="E31" i="18"/>
  <c r="F31" i="18"/>
  <c r="H31" i="18"/>
  <c r="C32" i="18"/>
  <c r="E32" i="18"/>
  <c r="F32" i="18"/>
  <c r="H32" i="18"/>
  <c r="C33" i="18"/>
  <c r="E33" i="18"/>
  <c r="F33" i="18"/>
  <c r="H33" i="18"/>
  <c r="C34" i="18"/>
  <c r="E34" i="18"/>
  <c r="F34" i="18"/>
  <c r="H34" i="18"/>
  <c r="C35" i="18"/>
  <c r="E35" i="18"/>
  <c r="F35" i="18"/>
  <c r="H35" i="18"/>
  <c r="C36" i="18"/>
  <c r="E36" i="18"/>
  <c r="F36" i="18"/>
  <c r="H36" i="18"/>
  <c r="C37" i="18"/>
  <c r="E37" i="18"/>
  <c r="F37" i="18"/>
  <c r="H37" i="18"/>
  <c r="C38" i="18"/>
  <c r="E38" i="18"/>
  <c r="F38" i="18"/>
  <c r="H38" i="18"/>
  <c r="C39" i="18"/>
  <c r="E39" i="18"/>
  <c r="F39" i="18"/>
  <c r="H39" i="18"/>
  <c r="C40" i="18"/>
  <c r="H4" i="18"/>
  <c r="E4" i="18"/>
  <c r="F4" i="18"/>
  <c r="C4" i="18"/>
  <c r="C33" i="5"/>
  <c r="D33" i="5"/>
  <c r="D9" i="17"/>
  <c r="G9" i="17"/>
  <c r="D12" i="17"/>
  <c r="G12" i="17"/>
  <c r="G13" i="17"/>
  <c r="D13" i="17"/>
  <c r="I45" i="19" l="1"/>
  <c r="I4" i="19"/>
  <c r="I35" i="19"/>
  <c r="I44" i="19"/>
  <c r="I41" i="19"/>
  <c r="I34" i="19"/>
  <c r="I48" i="19"/>
  <c r="I47" i="19"/>
  <c r="E33" i="5"/>
  <c r="I18" i="19"/>
  <c r="I22" i="19"/>
  <c r="I25" i="19"/>
  <c r="I42" i="19"/>
  <c r="I21" i="19"/>
  <c r="I26" i="19"/>
  <c r="I5" i="19"/>
  <c r="I38" i="19"/>
  <c r="I23" i="19"/>
  <c r="I17" i="19"/>
  <c r="I28" i="19"/>
  <c r="I9" i="19"/>
  <c r="I12" i="19"/>
  <c r="I14" i="19"/>
  <c r="I8" i="19"/>
  <c r="I46" i="19"/>
  <c r="I11" i="19"/>
  <c r="I40" i="19"/>
  <c r="I7" i="19"/>
  <c r="I43" i="19"/>
  <c r="I10" i="19"/>
  <c r="I27" i="19"/>
  <c r="I13" i="19"/>
  <c r="I30" i="19"/>
  <c r="I16" i="19"/>
  <c r="I19" i="19"/>
  <c r="I15" i="19"/>
  <c r="I29" i="19"/>
  <c r="I39" i="19"/>
  <c r="I31" i="19"/>
  <c r="I20" i="19"/>
  <c r="I37" i="19"/>
  <c r="I24" i="19"/>
  <c r="I6" i="19"/>
  <c r="I33" i="19"/>
  <c r="I32" i="19"/>
  <c r="G21" i="17"/>
  <c r="D21" i="17"/>
  <c r="H12" i="17"/>
  <c r="F12" i="17"/>
  <c r="E12" i="17"/>
  <c r="C12" i="17"/>
  <c r="F4" i="17"/>
  <c r="C4" i="17"/>
  <c r="H19" i="17"/>
  <c r="G19" i="17"/>
  <c r="F19" i="17"/>
  <c r="E19" i="17"/>
  <c r="D19" i="17"/>
  <c r="C19" i="17"/>
  <c r="H14" i="17"/>
  <c r="G14" i="17"/>
  <c r="F14" i="17"/>
  <c r="E14" i="17"/>
  <c r="D14" i="17"/>
  <c r="C14" i="17"/>
  <c r="F7" i="17"/>
  <c r="C7" i="17"/>
  <c r="H15" i="17"/>
  <c r="G15" i="17"/>
  <c r="F15" i="17"/>
  <c r="E15" i="17"/>
  <c r="D15" i="17"/>
  <c r="C15" i="17"/>
  <c r="H13" i="17"/>
  <c r="F13" i="17"/>
  <c r="E13" i="17"/>
  <c r="C13" i="17"/>
  <c r="H18" i="17"/>
  <c r="G18" i="17"/>
  <c r="F18" i="17"/>
  <c r="E18" i="17"/>
  <c r="D18" i="17"/>
  <c r="C18" i="17"/>
  <c r="F21" i="17"/>
  <c r="C21" i="17"/>
  <c r="H5" i="17"/>
  <c r="F5" i="17"/>
  <c r="E5" i="17"/>
  <c r="C5" i="17"/>
  <c r="G3" i="17"/>
  <c r="F3" i="17"/>
  <c r="D3" i="17"/>
  <c r="C3" i="17"/>
  <c r="H10" i="17"/>
  <c r="G10" i="17"/>
  <c r="F10" i="17"/>
  <c r="E10" i="17"/>
  <c r="D10" i="17"/>
  <c r="C10" i="17"/>
  <c r="H11" i="17"/>
  <c r="G11" i="17"/>
  <c r="F11" i="17"/>
  <c r="E11" i="17"/>
  <c r="D11" i="17"/>
  <c r="C11" i="17"/>
  <c r="H17" i="17"/>
  <c r="G17" i="17"/>
  <c r="F17" i="17"/>
  <c r="E17" i="17"/>
  <c r="D17" i="17"/>
  <c r="C17" i="17"/>
  <c r="H6" i="17"/>
  <c r="F6" i="17"/>
  <c r="E6" i="17"/>
  <c r="C6" i="17"/>
  <c r="G16" i="17"/>
  <c r="F16" i="17"/>
  <c r="D16" i="17"/>
  <c r="C16" i="17"/>
  <c r="H22" i="17"/>
  <c r="G22" i="17"/>
  <c r="F22" i="17"/>
  <c r="E22" i="17"/>
  <c r="D22" i="17"/>
  <c r="C22" i="17"/>
  <c r="F20" i="17"/>
  <c r="C20" i="17"/>
  <c r="H9" i="17"/>
  <c r="F9" i="17"/>
  <c r="E9" i="17"/>
  <c r="C9" i="17"/>
  <c r="H8" i="17"/>
  <c r="G8" i="17"/>
  <c r="F8" i="17"/>
  <c r="E8" i="17"/>
  <c r="D8" i="17"/>
  <c r="C8" i="17"/>
  <c r="H29" i="16"/>
  <c r="E29" i="16"/>
  <c r="H28" i="16"/>
  <c r="E28" i="16"/>
  <c r="H26" i="16"/>
  <c r="E26" i="16"/>
  <c r="H20" i="16"/>
  <c r="E20" i="16"/>
  <c r="H14" i="16"/>
  <c r="E14" i="16"/>
  <c r="C4" i="16"/>
  <c r="D4" i="16"/>
  <c r="E4" i="16"/>
  <c r="F4" i="16"/>
  <c r="G4" i="16"/>
  <c r="H4" i="16"/>
  <c r="C5" i="16"/>
  <c r="D5" i="16"/>
  <c r="E5" i="16"/>
  <c r="F5" i="16"/>
  <c r="G5" i="16"/>
  <c r="H5" i="16"/>
  <c r="C6" i="16"/>
  <c r="D6" i="16"/>
  <c r="E6" i="16"/>
  <c r="F6" i="16"/>
  <c r="G6" i="16"/>
  <c r="H6" i="16"/>
  <c r="C7" i="16"/>
  <c r="D7" i="16"/>
  <c r="E7" i="16"/>
  <c r="F7" i="16"/>
  <c r="G7" i="16"/>
  <c r="H7" i="16"/>
  <c r="C8" i="16"/>
  <c r="D8" i="16"/>
  <c r="E8" i="16"/>
  <c r="F8" i="16"/>
  <c r="G8" i="16"/>
  <c r="H8" i="16"/>
  <c r="C9" i="16"/>
  <c r="D9" i="16"/>
  <c r="E9" i="16"/>
  <c r="F9" i="16"/>
  <c r="G9" i="16"/>
  <c r="H9" i="16"/>
  <c r="C10" i="16"/>
  <c r="D10" i="16"/>
  <c r="E10" i="16"/>
  <c r="F10" i="16"/>
  <c r="G10" i="16"/>
  <c r="H10" i="16"/>
  <c r="C11" i="16"/>
  <c r="D11" i="16"/>
  <c r="E11" i="16"/>
  <c r="F11" i="16"/>
  <c r="G11" i="16"/>
  <c r="H11" i="16"/>
  <c r="C12" i="16"/>
  <c r="D12" i="16"/>
  <c r="E12" i="16"/>
  <c r="F12" i="16"/>
  <c r="G12" i="16"/>
  <c r="H12" i="16"/>
  <c r="C13" i="16"/>
  <c r="D13" i="16"/>
  <c r="E13" i="16"/>
  <c r="F13" i="16"/>
  <c r="G13" i="16"/>
  <c r="H13" i="16"/>
  <c r="C14" i="16"/>
  <c r="D14" i="16"/>
  <c r="F14" i="16"/>
  <c r="G14" i="16"/>
  <c r="C15" i="16"/>
  <c r="D15" i="16"/>
  <c r="E15" i="16"/>
  <c r="F15" i="16"/>
  <c r="G15" i="16"/>
  <c r="H15" i="16"/>
  <c r="C16" i="16"/>
  <c r="D16" i="16"/>
  <c r="E16" i="16"/>
  <c r="F16" i="16"/>
  <c r="G16" i="16"/>
  <c r="H16" i="16"/>
  <c r="C17" i="16"/>
  <c r="D17" i="16"/>
  <c r="E17" i="16"/>
  <c r="F17" i="16"/>
  <c r="G17" i="16"/>
  <c r="H17" i="16"/>
  <c r="C18" i="16"/>
  <c r="D18" i="16"/>
  <c r="E18" i="16"/>
  <c r="F18" i="16"/>
  <c r="G18" i="16"/>
  <c r="H18" i="16"/>
  <c r="C19" i="16"/>
  <c r="D19" i="16"/>
  <c r="E19" i="16"/>
  <c r="F19" i="16"/>
  <c r="G19" i="16"/>
  <c r="H19" i="16"/>
  <c r="C20" i="16"/>
  <c r="D20" i="16"/>
  <c r="F20" i="16"/>
  <c r="G20" i="16"/>
  <c r="C21" i="16"/>
  <c r="D21" i="16"/>
  <c r="F21" i="16"/>
  <c r="G21" i="16"/>
  <c r="C22" i="16"/>
  <c r="D22" i="16"/>
  <c r="E22" i="16"/>
  <c r="F22" i="16"/>
  <c r="G22" i="16"/>
  <c r="H22" i="16"/>
  <c r="C23" i="16"/>
  <c r="D23" i="16"/>
  <c r="E23" i="16"/>
  <c r="F23" i="16"/>
  <c r="G23" i="16"/>
  <c r="H23" i="16"/>
  <c r="C24" i="16"/>
  <c r="D24" i="16"/>
  <c r="E24" i="16"/>
  <c r="F24" i="16"/>
  <c r="G24" i="16"/>
  <c r="H24" i="16"/>
  <c r="C25" i="16"/>
  <c r="D25" i="16"/>
  <c r="E25" i="16"/>
  <c r="F25" i="16"/>
  <c r="G25" i="16"/>
  <c r="H25" i="16"/>
  <c r="C26" i="16"/>
  <c r="D26" i="16"/>
  <c r="F26" i="16"/>
  <c r="G26" i="16"/>
  <c r="C27" i="16"/>
  <c r="E27" i="16"/>
  <c r="F27" i="16"/>
  <c r="H27" i="16"/>
  <c r="C28" i="16"/>
  <c r="D28" i="16"/>
  <c r="F28" i="16"/>
  <c r="G28" i="16"/>
  <c r="C29" i="16"/>
  <c r="D29" i="16"/>
  <c r="F29" i="16"/>
  <c r="G29" i="16"/>
  <c r="C30" i="16"/>
  <c r="D30" i="16"/>
  <c r="E30" i="16"/>
  <c r="F30" i="16"/>
  <c r="G30" i="16"/>
  <c r="H30" i="16"/>
  <c r="C31" i="16"/>
  <c r="D31" i="16"/>
  <c r="E31" i="16"/>
  <c r="F31" i="16"/>
  <c r="G31" i="16"/>
  <c r="H31" i="16"/>
  <c r="H3" i="16"/>
  <c r="E3" i="16"/>
  <c r="D3" i="16"/>
  <c r="G3" i="16"/>
  <c r="F3" i="16"/>
  <c r="C3" i="16"/>
  <c r="H12" i="14"/>
  <c r="G12" i="14"/>
  <c r="F12" i="14"/>
  <c r="E12" i="14"/>
  <c r="D12" i="14"/>
  <c r="C12" i="14"/>
  <c r="H5" i="14"/>
  <c r="G5" i="14"/>
  <c r="F5" i="14"/>
  <c r="C5" i="14"/>
  <c r="H17" i="14"/>
  <c r="G17" i="14"/>
  <c r="F17" i="14"/>
  <c r="E17" i="14"/>
  <c r="D17" i="14"/>
  <c r="C17" i="14"/>
  <c r="H19" i="14"/>
  <c r="G19" i="14"/>
  <c r="F19" i="14"/>
  <c r="E19" i="14"/>
  <c r="D19" i="14"/>
  <c r="C19" i="14"/>
  <c r="H10" i="14"/>
  <c r="G10" i="14"/>
  <c r="F10" i="14"/>
  <c r="E10" i="14"/>
  <c r="D10" i="14"/>
  <c r="C10" i="14"/>
  <c r="H18" i="14"/>
  <c r="G18" i="14"/>
  <c r="F18" i="14"/>
  <c r="E18" i="14"/>
  <c r="D18" i="14"/>
  <c r="C18" i="14"/>
  <c r="H14" i="14"/>
  <c r="G14" i="14"/>
  <c r="F14" i="14"/>
  <c r="E14" i="14"/>
  <c r="D14" i="14"/>
  <c r="C14" i="14"/>
  <c r="H16" i="14"/>
  <c r="G16" i="14"/>
  <c r="F16" i="14"/>
  <c r="E16" i="14"/>
  <c r="D16" i="14"/>
  <c r="C16" i="14"/>
  <c r="H22" i="14"/>
  <c r="G22" i="14"/>
  <c r="F22" i="14"/>
  <c r="E22" i="14"/>
  <c r="D22" i="14"/>
  <c r="C22" i="14"/>
  <c r="H4" i="14"/>
  <c r="G4" i="14"/>
  <c r="F4" i="14"/>
  <c r="E4" i="14"/>
  <c r="C4" i="14"/>
  <c r="H7" i="14"/>
  <c r="G7" i="14"/>
  <c r="F7" i="14"/>
  <c r="E7" i="14"/>
  <c r="D7" i="14"/>
  <c r="C7" i="14"/>
  <c r="H13" i="14"/>
  <c r="G13" i="14"/>
  <c r="F13" i="14"/>
  <c r="E13" i="14"/>
  <c r="D13" i="14"/>
  <c r="C13" i="14"/>
  <c r="H6" i="14"/>
  <c r="G6" i="14"/>
  <c r="F6" i="14"/>
  <c r="E6" i="14"/>
  <c r="D6" i="14"/>
  <c r="C6" i="14"/>
  <c r="H21" i="14"/>
  <c r="G21" i="14"/>
  <c r="F21" i="14"/>
  <c r="E21" i="14"/>
  <c r="D21" i="14"/>
  <c r="C21" i="14"/>
  <c r="H8" i="14"/>
  <c r="G8" i="14"/>
  <c r="F8" i="14"/>
  <c r="E8" i="14"/>
  <c r="D8" i="14"/>
  <c r="C8" i="14"/>
  <c r="H20" i="14"/>
  <c r="G20" i="14"/>
  <c r="F20" i="14"/>
  <c r="E20" i="14"/>
  <c r="D20" i="14"/>
  <c r="C20" i="14"/>
  <c r="H23" i="14"/>
  <c r="G23" i="14"/>
  <c r="F23" i="14"/>
  <c r="E23" i="14"/>
  <c r="D23" i="14"/>
  <c r="C23" i="14"/>
  <c r="H15" i="14"/>
  <c r="G15" i="14"/>
  <c r="F15" i="14"/>
  <c r="E15" i="14"/>
  <c r="D15" i="14"/>
  <c r="C15" i="14"/>
  <c r="H9" i="14"/>
  <c r="G9" i="14"/>
  <c r="F9" i="14"/>
  <c r="E9" i="14"/>
  <c r="D9" i="14"/>
  <c r="C9" i="14"/>
  <c r="H11" i="14"/>
  <c r="G11" i="14"/>
  <c r="F11" i="14"/>
  <c r="E11" i="14"/>
  <c r="D11" i="14"/>
  <c r="C11" i="14"/>
  <c r="C5" i="12"/>
  <c r="D5" i="12"/>
  <c r="E5" i="12"/>
  <c r="F5" i="12"/>
  <c r="G5" i="12"/>
  <c r="H5" i="12"/>
  <c r="C6" i="12"/>
  <c r="D6" i="12"/>
  <c r="E6" i="12"/>
  <c r="F6" i="12"/>
  <c r="G6" i="12"/>
  <c r="H6" i="12"/>
  <c r="C7" i="12"/>
  <c r="D7" i="12"/>
  <c r="E7" i="12"/>
  <c r="F7" i="12"/>
  <c r="G7" i="12"/>
  <c r="H7" i="12"/>
  <c r="C8" i="12"/>
  <c r="D8" i="12"/>
  <c r="E8" i="12"/>
  <c r="F8" i="12"/>
  <c r="G8" i="12"/>
  <c r="H8" i="12"/>
  <c r="C9" i="12"/>
  <c r="D9" i="12"/>
  <c r="E9" i="12"/>
  <c r="F9" i="12"/>
  <c r="G9" i="12"/>
  <c r="H9" i="12"/>
  <c r="C10" i="12"/>
  <c r="D10" i="12"/>
  <c r="E10" i="12"/>
  <c r="F10" i="12"/>
  <c r="G10" i="12"/>
  <c r="H10" i="12"/>
  <c r="C11" i="12"/>
  <c r="D11" i="12"/>
  <c r="E11" i="12"/>
  <c r="F11" i="12"/>
  <c r="G11" i="12"/>
  <c r="H11" i="12"/>
  <c r="C12" i="12"/>
  <c r="D12" i="12"/>
  <c r="E12" i="12"/>
  <c r="F12" i="12"/>
  <c r="G12" i="12"/>
  <c r="H12" i="12"/>
  <c r="C13" i="12"/>
  <c r="D13" i="12"/>
  <c r="E13" i="12"/>
  <c r="F13" i="12"/>
  <c r="G13" i="12"/>
  <c r="H13" i="12"/>
  <c r="C14" i="12"/>
  <c r="D14" i="12"/>
  <c r="E14" i="12"/>
  <c r="F14" i="12"/>
  <c r="G14" i="12"/>
  <c r="H14" i="12"/>
  <c r="C15" i="12"/>
  <c r="D15" i="12"/>
  <c r="E15" i="12"/>
  <c r="F15" i="12"/>
  <c r="G15" i="12"/>
  <c r="H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C18" i="12"/>
  <c r="D18" i="12"/>
  <c r="E18" i="12"/>
  <c r="F18" i="12"/>
  <c r="G18" i="12"/>
  <c r="H18" i="12"/>
  <c r="C19" i="12"/>
  <c r="D19" i="12"/>
  <c r="E19" i="12"/>
  <c r="F19" i="12"/>
  <c r="G19" i="12"/>
  <c r="H19" i="12"/>
  <c r="C20" i="12"/>
  <c r="D20" i="12"/>
  <c r="E20" i="12"/>
  <c r="F20" i="12"/>
  <c r="G20" i="12"/>
  <c r="H20" i="12"/>
  <c r="C21" i="12"/>
  <c r="D21" i="12"/>
  <c r="E21" i="12"/>
  <c r="F21" i="12"/>
  <c r="G21" i="12"/>
  <c r="H21" i="12"/>
  <c r="C22" i="12"/>
  <c r="D22" i="12"/>
  <c r="E22" i="12"/>
  <c r="F22" i="12"/>
  <c r="G22" i="12"/>
  <c r="H22" i="12"/>
  <c r="C23" i="12"/>
  <c r="D23" i="12"/>
  <c r="E23" i="12"/>
  <c r="F23" i="12"/>
  <c r="G23" i="12"/>
  <c r="H23" i="12"/>
  <c r="C24" i="12"/>
  <c r="D24" i="12"/>
  <c r="E24" i="12"/>
  <c r="F24" i="12"/>
  <c r="G24" i="12"/>
  <c r="H24" i="12"/>
  <c r="C25" i="12"/>
  <c r="D25" i="12"/>
  <c r="E25" i="12"/>
  <c r="F25" i="12"/>
  <c r="G25" i="12"/>
  <c r="H25" i="12"/>
  <c r="C26" i="12"/>
  <c r="D26" i="12"/>
  <c r="E26" i="12"/>
  <c r="F26" i="12"/>
  <c r="G26" i="12"/>
  <c r="H26" i="12"/>
  <c r="C27" i="12"/>
  <c r="D27" i="12"/>
  <c r="E27" i="12"/>
  <c r="F27" i="12"/>
  <c r="G27" i="12"/>
  <c r="H27" i="12"/>
  <c r="C28" i="12"/>
  <c r="D28" i="12"/>
  <c r="E28" i="12"/>
  <c r="F28" i="12"/>
  <c r="G28" i="12"/>
  <c r="H28" i="12"/>
  <c r="C29" i="12"/>
  <c r="D29" i="12"/>
  <c r="E29" i="12"/>
  <c r="F29" i="12"/>
  <c r="G29" i="12"/>
  <c r="H29" i="12"/>
  <c r="C30" i="12"/>
  <c r="D30" i="12"/>
  <c r="E30" i="12"/>
  <c r="F30" i="12"/>
  <c r="G30" i="12"/>
  <c r="H30" i="12"/>
  <c r="C31" i="12"/>
  <c r="D31" i="12"/>
  <c r="E31" i="12"/>
  <c r="F31" i="12"/>
  <c r="G31" i="12"/>
  <c r="H31" i="12"/>
  <c r="C32" i="12"/>
  <c r="D32" i="12"/>
  <c r="E32" i="12"/>
  <c r="F32" i="12"/>
  <c r="G32" i="12"/>
  <c r="H32" i="12"/>
  <c r="H4" i="12"/>
  <c r="E4" i="12"/>
  <c r="G4" i="12"/>
  <c r="D4" i="12"/>
  <c r="F4" i="12"/>
  <c r="C4" i="12"/>
  <c r="C60" i="5"/>
  <c r="C68" i="4"/>
  <c r="I11" i="17" l="1"/>
  <c r="I15" i="17"/>
  <c r="I9" i="14"/>
  <c r="I23" i="14"/>
  <c r="I8" i="14"/>
  <c r="I6" i="14"/>
  <c r="I7" i="14"/>
  <c r="I22" i="14"/>
  <c r="I14" i="14"/>
  <c r="I10" i="14"/>
  <c r="I17" i="14"/>
  <c r="I12" i="14"/>
  <c r="I19" i="17"/>
  <c r="I3" i="17"/>
  <c r="I5" i="17"/>
  <c r="I21" i="17"/>
  <c r="I13" i="17"/>
  <c r="I4" i="17"/>
  <c r="I11" i="14"/>
  <c r="I15" i="14"/>
  <c r="I20" i="14"/>
  <c r="I21" i="14"/>
  <c r="J17" i="14"/>
  <c r="I13" i="14"/>
  <c r="I4" i="14"/>
  <c r="I16" i="14"/>
  <c r="I18" i="14"/>
  <c r="I19" i="14"/>
  <c r="I5" i="14"/>
  <c r="I17" i="17"/>
  <c r="I10" i="17"/>
  <c r="I18" i="17"/>
  <c r="I12" i="17"/>
  <c r="J11" i="14"/>
  <c r="J15" i="14"/>
  <c r="J20" i="14"/>
  <c r="J21" i="14"/>
  <c r="J13" i="14"/>
  <c r="J4" i="14"/>
  <c r="J16" i="14"/>
  <c r="J18" i="14"/>
  <c r="J19" i="14"/>
  <c r="J5" i="14"/>
  <c r="I9" i="17"/>
  <c r="I20" i="17"/>
  <c r="I16" i="17"/>
  <c r="I6" i="17"/>
  <c r="I7" i="17"/>
  <c r="I8" i="17"/>
  <c r="I22" i="17"/>
  <c r="I14" i="17"/>
  <c r="J9" i="14"/>
  <c r="J23" i="14"/>
  <c r="J8" i="14"/>
  <c r="J6" i="14"/>
  <c r="J7" i="14"/>
  <c r="J22" i="14"/>
  <c r="J14" i="14"/>
  <c r="J10" i="14"/>
  <c r="J12" i="14"/>
  <c r="D10" i="2"/>
  <c r="C10" i="2"/>
  <c r="C68" i="1"/>
  <c r="E10" i="2" l="1"/>
  <c r="F22" i="11"/>
  <c r="C22" i="11"/>
  <c r="AA13" i="11"/>
  <c r="H13" i="11" s="1"/>
  <c r="Z13" i="11"/>
  <c r="G13" i="11" s="1"/>
  <c r="F13" i="11"/>
  <c r="W13" i="11"/>
  <c r="E13" i="11" s="1"/>
  <c r="V13" i="11"/>
  <c r="D13" i="11" s="1"/>
  <c r="C13" i="11"/>
  <c r="F6" i="11"/>
  <c r="C6" i="11"/>
  <c r="AA10" i="11"/>
  <c r="H10" i="11" s="1"/>
  <c r="Z10" i="11"/>
  <c r="G10" i="11" s="1"/>
  <c r="F10" i="11"/>
  <c r="W10" i="11"/>
  <c r="E10" i="11" s="1"/>
  <c r="V10" i="11"/>
  <c r="D10" i="11" s="1"/>
  <c r="C10" i="11"/>
  <c r="AA20" i="11"/>
  <c r="H20" i="11" s="1"/>
  <c r="F20" i="11"/>
  <c r="W20" i="11"/>
  <c r="E20" i="11" s="1"/>
  <c r="C20" i="11"/>
  <c r="AA19" i="11"/>
  <c r="H19" i="11" s="1"/>
  <c r="F19" i="11"/>
  <c r="C19" i="11"/>
  <c r="I19" i="11" s="1"/>
  <c r="AA16" i="11"/>
  <c r="H16" i="11" s="1"/>
  <c r="Z16" i="11"/>
  <c r="G16" i="11" s="1"/>
  <c r="F16" i="11"/>
  <c r="W16" i="11"/>
  <c r="E16" i="11" s="1"/>
  <c r="V16" i="11"/>
  <c r="D16" i="11" s="1"/>
  <c r="C16" i="11"/>
  <c r="AA5" i="11"/>
  <c r="H5" i="11" s="1"/>
  <c r="Z5" i="11"/>
  <c r="G5" i="11" s="1"/>
  <c r="F5" i="11"/>
  <c r="W5" i="11"/>
  <c r="E5" i="11" s="1"/>
  <c r="V5" i="11"/>
  <c r="D5" i="11" s="1"/>
  <c r="C5" i="11"/>
  <c r="AA12" i="11"/>
  <c r="H12" i="11" s="1"/>
  <c r="Z12" i="11"/>
  <c r="G12" i="11" s="1"/>
  <c r="F12" i="11"/>
  <c r="W12" i="11"/>
  <c r="E12" i="11" s="1"/>
  <c r="V12" i="11"/>
  <c r="D12" i="11" s="1"/>
  <c r="C12" i="11"/>
  <c r="Z17" i="11"/>
  <c r="G17" i="11" s="1"/>
  <c r="F17" i="11"/>
  <c r="V17" i="11"/>
  <c r="D17" i="11" s="1"/>
  <c r="C17" i="11"/>
  <c r="AA15" i="11"/>
  <c r="H15" i="11" s="1"/>
  <c r="Z15" i="11"/>
  <c r="G15" i="11" s="1"/>
  <c r="F15" i="11"/>
  <c r="W15" i="11"/>
  <c r="E15" i="11" s="1"/>
  <c r="V15" i="11"/>
  <c r="D15" i="11" s="1"/>
  <c r="C15" i="11"/>
  <c r="AA11" i="11"/>
  <c r="H11" i="11" s="1"/>
  <c r="Z11" i="11"/>
  <c r="G11" i="11" s="1"/>
  <c r="F11" i="11"/>
  <c r="W11" i="11"/>
  <c r="E11" i="11" s="1"/>
  <c r="V11" i="11"/>
  <c r="D11" i="11" s="1"/>
  <c r="C11" i="11"/>
  <c r="AA3" i="11"/>
  <c r="H3" i="11" s="1"/>
  <c r="F3" i="11"/>
  <c r="W3" i="11"/>
  <c r="E3" i="11" s="1"/>
  <c r="C3" i="11"/>
  <c r="AA21" i="11"/>
  <c r="H21" i="11" s="1"/>
  <c r="Z21" i="11"/>
  <c r="G21" i="11" s="1"/>
  <c r="F21" i="11"/>
  <c r="W21" i="11"/>
  <c r="E21" i="11" s="1"/>
  <c r="V21" i="11"/>
  <c r="D21" i="11" s="1"/>
  <c r="C21" i="11"/>
  <c r="F18" i="11"/>
  <c r="C18" i="11"/>
  <c r="Z14" i="11"/>
  <c r="G14" i="11" s="1"/>
  <c r="F14" i="11"/>
  <c r="V14" i="11"/>
  <c r="D14" i="11" s="1"/>
  <c r="C14" i="11"/>
  <c r="AA23" i="11"/>
  <c r="H23" i="11" s="1"/>
  <c r="Z23" i="11"/>
  <c r="G23" i="11" s="1"/>
  <c r="F23" i="11"/>
  <c r="W23" i="11"/>
  <c r="E23" i="11" s="1"/>
  <c r="V23" i="11"/>
  <c r="D23" i="11" s="1"/>
  <c r="C23" i="11"/>
  <c r="F7" i="11"/>
  <c r="C7" i="11"/>
  <c r="F8" i="11"/>
  <c r="C8" i="11"/>
  <c r="AA24" i="11"/>
  <c r="H24" i="11" s="1"/>
  <c r="Z24" i="11"/>
  <c r="G24" i="11" s="1"/>
  <c r="F24" i="11"/>
  <c r="W24" i="11"/>
  <c r="E24" i="11" s="1"/>
  <c r="V24" i="11"/>
  <c r="D24" i="11" s="1"/>
  <c r="C24" i="11"/>
  <c r="AA4" i="11"/>
  <c r="H4" i="11" s="1"/>
  <c r="F4" i="11"/>
  <c r="W4" i="11"/>
  <c r="E4" i="11" s="1"/>
  <c r="C4" i="11"/>
  <c r="AA9" i="11"/>
  <c r="H9" i="11" s="1"/>
  <c r="Z9" i="11"/>
  <c r="G9" i="11" s="1"/>
  <c r="F9" i="11"/>
  <c r="W9" i="11"/>
  <c r="E9" i="11" s="1"/>
  <c r="V9" i="11"/>
  <c r="D9" i="11" s="1"/>
  <c r="C9" i="11"/>
  <c r="H14" i="8"/>
  <c r="G14" i="8"/>
  <c r="E14" i="8"/>
  <c r="D14" i="8"/>
  <c r="D50" i="1"/>
  <c r="C50" i="1"/>
  <c r="H28" i="8"/>
  <c r="E28" i="8"/>
  <c r="E26" i="8"/>
  <c r="H26" i="8"/>
  <c r="H21" i="8"/>
  <c r="H22" i="8"/>
  <c r="E21" i="8"/>
  <c r="H20" i="8"/>
  <c r="E20" i="8"/>
  <c r="H18" i="8"/>
  <c r="E18" i="8"/>
  <c r="C4" i="8"/>
  <c r="D4" i="8"/>
  <c r="E4" i="8"/>
  <c r="F4" i="8"/>
  <c r="G4" i="8"/>
  <c r="H4" i="8"/>
  <c r="C5" i="8"/>
  <c r="D5" i="8"/>
  <c r="E5" i="8"/>
  <c r="F5" i="8"/>
  <c r="G5" i="8"/>
  <c r="H5" i="8"/>
  <c r="C6" i="8"/>
  <c r="D6" i="8"/>
  <c r="E6" i="8"/>
  <c r="F6" i="8"/>
  <c r="G6" i="8"/>
  <c r="H6" i="8"/>
  <c r="C7" i="8"/>
  <c r="D7" i="8"/>
  <c r="E7" i="8"/>
  <c r="F7" i="8"/>
  <c r="G7" i="8"/>
  <c r="H7" i="8"/>
  <c r="C8" i="8"/>
  <c r="D8" i="8"/>
  <c r="E8" i="8"/>
  <c r="F8" i="8"/>
  <c r="G8" i="8"/>
  <c r="H8" i="8"/>
  <c r="C9" i="8"/>
  <c r="D9" i="8"/>
  <c r="E9" i="8"/>
  <c r="F9" i="8"/>
  <c r="G9" i="8"/>
  <c r="H9" i="8"/>
  <c r="C10" i="8"/>
  <c r="F10" i="8"/>
  <c r="C11" i="8"/>
  <c r="D11" i="8"/>
  <c r="E11" i="8"/>
  <c r="F11" i="8"/>
  <c r="G11" i="8"/>
  <c r="H11" i="8"/>
  <c r="C12" i="8"/>
  <c r="D12" i="8"/>
  <c r="E12" i="8"/>
  <c r="F12" i="8"/>
  <c r="G12" i="8"/>
  <c r="H12" i="8"/>
  <c r="C13" i="8"/>
  <c r="D13" i="8"/>
  <c r="E13" i="8"/>
  <c r="F13" i="8"/>
  <c r="G13" i="8"/>
  <c r="H13" i="8"/>
  <c r="C14" i="8"/>
  <c r="F14" i="8"/>
  <c r="C15" i="8"/>
  <c r="D15" i="8"/>
  <c r="E15" i="8"/>
  <c r="F15" i="8"/>
  <c r="G15" i="8"/>
  <c r="H15" i="8"/>
  <c r="C16" i="8"/>
  <c r="D16" i="8"/>
  <c r="E16" i="8"/>
  <c r="F16" i="8"/>
  <c r="G16" i="8"/>
  <c r="H16" i="8"/>
  <c r="C17" i="8"/>
  <c r="D17" i="8"/>
  <c r="E17" i="8"/>
  <c r="F17" i="8"/>
  <c r="G17" i="8"/>
  <c r="H17" i="8"/>
  <c r="C18" i="8"/>
  <c r="D18" i="8"/>
  <c r="F18" i="8"/>
  <c r="G18" i="8"/>
  <c r="C19" i="8"/>
  <c r="D19" i="8"/>
  <c r="E19" i="8"/>
  <c r="F19" i="8"/>
  <c r="G19" i="8"/>
  <c r="H19" i="8"/>
  <c r="C20" i="8"/>
  <c r="D20" i="8"/>
  <c r="F20" i="8"/>
  <c r="G20" i="8"/>
  <c r="C21" i="8"/>
  <c r="D21" i="8"/>
  <c r="F21" i="8"/>
  <c r="G21" i="8"/>
  <c r="C22" i="8"/>
  <c r="D22" i="8"/>
  <c r="E22" i="8"/>
  <c r="F22" i="8"/>
  <c r="G22" i="8"/>
  <c r="C23" i="8"/>
  <c r="D23" i="8"/>
  <c r="E23" i="8"/>
  <c r="F23" i="8"/>
  <c r="G23" i="8"/>
  <c r="H23" i="8"/>
  <c r="C24" i="8"/>
  <c r="D24" i="8"/>
  <c r="E24" i="8"/>
  <c r="F24" i="8"/>
  <c r="G24" i="8"/>
  <c r="H24" i="8"/>
  <c r="C25" i="8"/>
  <c r="D25" i="8"/>
  <c r="E25" i="8"/>
  <c r="F25" i="8"/>
  <c r="G25" i="8"/>
  <c r="H25" i="8"/>
  <c r="C26" i="8"/>
  <c r="D26" i="8"/>
  <c r="F26" i="8"/>
  <c r="G26" i="8"/>
  <c r="C27" i="8"/>
  <c r="E27" i="8"/>
  <c r="F27" i="8"/>
  <c r="H27" i="8"/>
  <c r="C28" i="8"/>
  <c r="D28" i="8"/>
  <c r="F28" i="8"/>
  <c r="G28" i="8"/>
  <c r="C29" i="8"/>
  <c r="D29" i="8"/>
  <c r="E29" i="8"/>
  <c r="F29" i="8"/>
  <c r="G29" i="8"/>
  <c r="H29" i="8"/>
  <c r="C30" i="8"/>
  <c r="D30" i="8"/>
  <c r="E30" i="8"/>
  <c r="F30" i="8"/>
  <c r="G30" i="8"/>
  <c r="H30" i="8"/>
  <c r="C31" i="8"/>
  <c r="D31" i="8"/>
  <c r="E31" i="8"/>
  <c r="F31" i="8"/>
  <c r="G31" i="8"/>
  <c r="H31" i="8"/>
  <c r="G3" i="8"/>
  <c r="D3" i="8"/>
  <c r="H3" i="8"/>
  <c r="E3" i="8"/>
  <c r="F3" i="8"/>
  <c r="C3" i="8"/>
  <c r="I22" i="11" l="1"/>
  <c r="I8" i="11"/>
  <c r="I11" i="11"/>
  <c r="I16" i="11"/>
  <c r="I20" i="11"/>
  <c r="I24" i="11"/>
  <c r="I12" i="11"/>
  <c r="I13" i="11"/>
  <c r="I9" i="11"/>
  <c r="I23" i="11"/>
  <c r="I21" i="11"/>
  <c r="I15" i="11"/>
  <c r="I5" i="11"/>
  <c r="I7" i="11"/>
  <c r="I14" i="11"/>
  <c r="I3" i="11"/>
  <c r="I4" i="11"/>
  <c r="I18" i="11"/>
  <c r="I6" i="11"/>
  <c r="I17" i="11"/>
  <c r="I10" i="11"/>
  <c r="H24" i="7"/>
  <c r="G24" i="7"/>
  <c r="F24" i="7"/>
  <c r="C24" i="7"/>
  <c r="H14" i="7"/>
  <c r="G14" i="7"/>
  <c r="F14" i="7"/>
  <c r="E14" i="7"/>
  <c r="D14" i="7"/>
  <c r="C14" i="7"/>
  <c r="H5" i="7"/>
  <c r="G5" i="7"/>
  <c r="F5" i="7"/>
  <c r="E5" i="7"/>
  <c r="D5" i="7"/>
  <c r="C5" i="7"/>
  <c r="H10" i="7"/>
  <c r="G10" i="7"/>
  <c r="F10" i="7"/>
  <c r="E10" i="7"/>
  <c r="D10" i="7"/>
  <c r="C10" i="7"/>
  <c r="H23" i="7"/>
  <c r="G23" i="7"/>
  <c r="F23" i="7"/>
  <c r="E23" i="7"/>
  <c r="D23" i="7"/>
  <c r="C23" i="7"/>
  <c r="H20" i="7"/>
  <c r="G20" i="7"/>
  <c r="F20" i="7"/>
  <c r="E20" i="7"/>
  <c r="D20" i="7"/>
  <c r="C20" i="7"/>
  <c r="H18" i="7"/>
  <c r="G18" i="7"/>
  <c r="F18" i="7"/>
  <c r="E18" i="7"/>
  <c r="D18" i="7"/>
  <c r="C18" i="7"/>
  <c r="H9" i="7"/>
  <c r="G9" i="7"/>
  <c r="F9" i="7"/>
  <c r="E9" i="7"/>
  <c r="D9" i="7"/>
  <c r="C9" i="7"/>
  <c r="H15" i="7"/>
  <c r="G15" i="7"/>
  <c r="F15" i="7"/>
  <c r="E15" i="7"/>
  <c r="D15" i="7"/>
  <c r="C15" i="7"/>
  <c r="H19" i="7"/>
  <c r="G19" i="7"/>
  <c r="F19" i="7"/>
  <c r="E19" i="7"/>
  <c r="D19" i="7"/>
  <c r="C19" i="7"/>
  <c r="H12" i="7"/>
  <c r="G12" i="7"/>
  <c r="F12" i="7"/>
  <c r="E12" i="7"/>
  <c r="D12" i="7"/>
  <c r="C12" i="7"/>
  <c r="H13" i="7"/>
  <c r="G13" i="7"/>
  <c r="F13" i="7"/>
  <c r="E13" i="7"/>
  <c r="D13" i="7"/>
  <c r="C13" i="7"/>
  <c r="H4" i="7"/>
  <c r="G4" i="7"/>
  <c r="F4" i="7"/>
  <c r="E4" i="7"/>
  <c r="D4" i="7"/>
  <c r="C4" i="7"/>
  <c r="H16" i="7"/>
  <c r="G16" i="7"/>
  <c r="E16" i="7"/>
  <c r="D16" i="7"/>
  <c r="H21" i="7"/>
  <c r="G21" i="7"/>
  <c r="F21" i="7"/>
  <c r="E21" i="7"/>
  <c r="D21" i="7"/>
  <c r="C21" i="7"/>
  <c r="H17" i="7"/>
  <c r="G17" i="7"/>
  <c r="F17" i="7"/>
  <c r="E17" i="7"/>
  <c r="D17" i="7"/>
  <c r="C17" i="7"/>
  <c r="H22" i="7"/>
  <c r="G22" i="7"/>
  <c r="F22" i="7"/>
  <c r="E22" i="7"/>
  <c r="D22" i="7"/>
  <c r="C22" i="7"/>
  <c r="H6" i="7"/>
  <c r="G6" i="7"/>
  <c r="F6" i="7"/>
  <c r="E6" i="7"/>
  <c r="D6" i="7"/>
  <c r="C6" i="7"/>
  <c r="F11" i="7"/>
  <c r="C11" i="7"/>
  <c r="H25" i="7"/>
  <c r="G25" i="7"/>
  <c r="F25" i="7"/>
  <c r="E25" i="7"/>
  <c r="D25" i="7"/>
  <c r="C25" i="7"/>
  <c r="H8" i="7"/>
  <c r="G8" i="7"/>
  <c r="F8" i="7"/>
  <c r="E8" i="7"/>
  <c r="D8" i="7"/>
  <c r="C8" i="7"/>
  <c r="H7" i="7"/>
  <c r="G7" i="7"/>
  <c r="F7" i="7"/>
  <c r="E7" i="7"/>
  <c r="D7" i="7"/>
  <c r="C7" i="7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4" i="6"/>
  <c r="C5" i="6"/>
  <c r="D5" i="6"/>
  <c r="E5" i="6"/>
  <c r="F5" i="6"/>
  <c r="H5" i="6"/>
  <c r="C6" i="6"/>
  <c r="D6" i="6"/>
  <c r="E6" i="6"/>
  <c r="F6" i="6"/>
  <c r="H6" i="6"/>
  <c r="C7" i="6"/>
  <c r="D7" i="6"/>
  <c r="E7" i="6"/>
  <c r="F7" i="6"/>
  <c r="H7" i="6"/>
  <c r="C8" i="6"/>
  <c r="D8" i="6"/>
  <c r="E8" i="6"/>
  <c r="F8" i="6"/>
  <c r="H8" i="6"/>
  <c r="C9" i="6"/>
  <c r="D9" i="6"/>
  <c r="E9" i="6"/>
  <c r="F9" i="6"/>
  <c r="H9" i="6"/>
  <c r="C10" i="6"/>
  <c r="D10" i="6"/>
  <c r="E10" i="6"/>
  <c r="F10" i="6"/>
  <c r="H10" i="6"/>
  <c r="C11" i="6"/>
  <c r="D11" i="6"/>
  <c r="E11" i="6"/>
  <c r="F11" i="6"/>
  <c r="H11" i="6"/>
  <c r="C12" i="6"/>
  <c r="D12" i="6"/>
  <c r="E12" i="6"/>
  <c r="F12" i="6"/>
  <c r="H12" i="6"/>
  <c r="C13" i="6"/>
  <c r="D13" i="6"/>
  <c r="E13" i="6"/>
  <c r="F13" i="6"/>
  <c r="H13" i="6"/>
  <c r="C14" i="6"/>
  <c r="D14" i="6"/>
  <c r="E14" i="6"/>
  <c r="F14" i="6"/>
  <c r="H14" i="6"/>
  <c r="D15" i="6"/>
  <c r="C16" i="6"/>
  <c r="D16" i="6"/>
  <c r="E16" i="6"/>
  <c r="F16" i="6"/>
  <c r="H16" i="6"/>
  <c r="C17" i="6"/>
  <c r="D17" i="6"/>
  <c r="E17" i="6"/>
  <c r="F17" i="6"/>
  <c r="H17" i="6"/>
  <c r="C18" i="6"/>
  <c r="D18" i="6"/>
  <c r="E18" i="6"/>
  <c r="F18" i="6"/>
  <c r="H18" i="6"/>
  <c r="C19" i="6"/>
  <c r="D19" i="6"/>
  <c r="E19" i="6"/>
  <c r="F19" i="6"/>
  <c r="H19" i="6"/>
  <c r="C20" i="6"/>
  <c r="D20" i="6"/>
  <c r="E20" i="6"/>
  <c r="F20" i="6"/>
  <c r="H20" i="6"/>
  <c r="C21" i="6"/>
  <c r="D21" i="6"/>
  <c r="E21" i="6"/>
  <c r="F21" i="6"/>
  <c r="H21" i="6"/>
  <c r="C22" i="6"/>
  <c r="D22" i="6"/>
  <c r="E22" i="6"/>
  <c r="F22" i="6"/>
  <c r="H22" i="6"/>
  <c r="C23" i="6"/>
  <c r="D23" i="6"/>
  <c r="E23" i="6"/>
  <c r="F23" i="6"/>
  <c r="H23" i="6"/>
  <c r="C24" i="6"/>
  <c r="D24" i="6"/>
  <c r="E24" i="6"/>
  <c r="F24" i="6"/>
  <c r="H24" i="6"/>
  <c r="C25" i="6"/>
  <c r="D25" i="6"/>
  <c r="E25" i="6"/>
  <c r="F25" i="6"/>
  <c r="H25" i="6"/>
  <c r="C26" i="6"/>
  <c r="D26" i="6"/>
  <c r="E26" i="6"/>
  <c r="F26" i="6"/>
  <c r="H26" i="6"/>
  <c r="C27" i="6"/>
  <c r="D27" i="6"/>
  <c r="E27" i="6"/>
  <c r="F27" i="6"/>
  <c r="H27" i="6"/>
  <c r="C28" i="6"/>
  <c r="D28" i="6"/>
  <c r="E28" i="6"/>
  <c r="F28" i="6"/>
  <c r="H28" i="6"/>
  <c r="C29" i="6"/>
  <c r="D29" i="6"/>
  <c r="E29" i="6"/>
  <c r="F29" i="6"/>
  <c r="H29" i="6"/>
  <c r="C30" i="6"/>
  <c r="D30" i="6"/>
  <c r="E30" i="6"/>
  <c r="F30" i="6"/>
  <c r="H30" i="6"/>
  <c r="C31" i="6"/>
  <c r="D31" i="6"/>
  <c r="E31" i="6"/>
  <c r="F31" i="6"/>
  <c r="H31" i="6"/>
  <c r="C32" i="6"/>
  <c r="D32" i="6"/>
  <c r="E32" i="6"/>
  <c r="F32" i="6"/>
  <c r="H32" i="6"/>
  <c r="H4" i="6"/>
  <c r="E4" i="6"/>
  <c r="D4" i="6"/>
  <c r="F4" i="6"/>
  <c r="C4" i="6"/>
  <c r="J18" i="7" l="1"/>
  <c r="J23" i="7"/>
  <c r="J5" i="7"/>
  <c r="J24" i="7"/>
  <c r="I13" i="7"/>
  <c r="I19" i="7"/>
  <c r="I9" i="7"/>
  <c r="I20" i="7"/>
  <c r="I10" i="7"/>
  <c r="I14" i="7"/>
  <c r="I8" i="7"/>
  <c r="I22" i="7"/>
  <c r="I21" i="7"/>
  <c r="J10" i="7"/>
  <c r="J14" i="7"/>
  <c r="I7" i="7"/>
  <c r="I25" i="7"/>
  <c r="I6" i="7"/>
  <c r="I17" i="7"/>
  <c r="I4" i="7"/>
  <c r="I12" i="7"/>
  <c r="I15" i="7"/>
  <c r="I18" i="7"/>
  <c r="I23" i="7"/>
  <c r="I5" i="7"/>
  <c r="I24" i="7"/>
  <c r="J7" i="7"/>
  <c r="J25" i="7"/>
  <c r="J6" i="7"/>
  <c r="J17" i="7"/>
  <c r="J4" i="7"/>
  <c r="J12" i="7"/>
  <c r="J15" i="7"/>
  <c r="I11" i="7"/>
  <c r="J16" i="7"/>
  <c r="J8" i="7"/>
  <c r="J22" i="7"/>
  <c r="J21" i="7"/>
  <c r="J13" i="7"/>
  <c r="J19" i="7"/>
  <c r="J9" i="7"/>
  <c r="J20" i="7"/>
  <c r="I4" i="6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67" i="4"/>
  <c r="D67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40" i="4"/>
  <c r="D40" i="4"/>
  <c r="H15" i="6"/>
  <c r="E15" i="6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5" i="4"/>
  <c r="D5" i="4"/>
  <c r="C4" i="4"/>
  <c r="D4" i="4"/>
  <c r="D3" i="4"/>
  <c r="C3" i="4"/>
  <c r="D11" i="2"/>
  <c r="C11" i="2"/>
  <c r="D6" i="2"/>
  <c r="C6" i="2"/>
  <c r="D54" i="2"/>
  <c r="C54" i="2"/>
  <c r="D25" i="2"/>
  <c r="C25" i="2"/>
  <c r="D4" i="2"/>
  <c r="C4" i="2"/>
  <c r="D16" i="2"/>
  <c r="C16" i="2"/>
  <c r="D27" i="2"/>
  <c r="C27" i="2"/>
  <c r="D36" i="2"/>
  <c r="C36" i="2"/>
  <c r="D60" i="2"/>
  <c r="C60" i="2"/>
  <c r="D5" i="2"/>
  <c r="C5" i="2"/>
  <c r="D7" i="2"/>
  <c r="C7" i="2"/>
  <c r="D17" i="2"/>
  <c r="C17" i="2"/>
  <c r="D57" i="2"/>
  <c r="C57" i="2"/>
  <c r="D30" i="2"/>
  <c r="C30" i="2"/>
  <c r="D9" i="2"/>
  <c r="C9" i="2"/>
  <c r="D32" i="2"/>
  <c r="C32" i="2"/>
  <c r="D3" i="2"/>
  <c r="C3" i="2"/>
  <c r="D63" i="2"/>
  <c r="C63" i="2"/>
  <c r="D47" i="2"/>
  <c r="C47" i="2"/>
  <c r="D65" i="2"/>
  <c r="C65" i="2"/>
  <c r="D12" i="2"/>
  <c r="C12" i="2"/>
  <c r="D21" i="2"/>
  <c r="C21" i="2"/>
  <c r="D33" i="2"/>
  <c r="C33" i="2"/>
  <c r="D13" i="2"/>
  <c r="C13" i="2"/>
  <c r="D15" i="2"/>
  <c r="C15" i="2"/>
  <c r="D55" i="2"/>
  <c r="C55" i="2"/>
  <c r="D8" i="2"/>
  <c r="C8" i="2"/>
  <c r="D50" i="2"/>
  <c r="C50" i="2"/>
  <c r="D62" i="2"/>
  <c r="C62" i="2"/>
  <c r="D28" i="2"/>
  <c r="C28" i="2"/>
  <c r="D24" i="2"/>
  <c r="C24" i="2"/>
  <c r="D46" i="2"/>
  <c r="C46" i="2"/>
  <c r="D67" i="2"/>
  <c r="C67" i="2"/>
  <c r="D23" i="2"/>
  <c r="C23" i="2"/>
  <c r="D20" i="2"/>
  <c r="C20" i="2"/>
  <c r="D66" i="2"/>
  <c r="C66" i="2"/>
  <c r="D29" i="2"/>
  <c r="C29" i="2"/>
  <c r="D19" i="2"/>
  <c r="C19" i="2"/>
  <c r="D26" i="2"/>
  <c r="C26" i="2"/>
  <c r="D52" i="2"/>
  <c r="C52" i="2"/>
  <c r="D22" i="2"/>
  <c r="C22" i="2"/>
  <c r="D49" i="2"/>
  <c r="C49" i="2"/>
  <c r="D48" i="2"/>
  <c r="C48" i="2"/>
  <c r="D31" i="2"/>
  <c r="C31" i="2"/>
  <c r="D35" i="2"/>
  <c r="C35" i="2"/>
  <c r="D38" i="2"/>
  <c r="C38" i="2"/>
  <c r="D42" i="2"/>
  <c r="C42" i="2"/>
  <c r="D53" i="2"/>
  <c r="C53" i="2"/>
  <c r="D59" i="2"/>
  <c r="C59" i="2"/>
  <c r="D18" i="2"/>
  <c r="C18" i="2"/>
  <c r="D14" i="2"/>
  <c r="C14" i="2"/>
  <c r="D34" i="2"/>
  <c r="C34" i="2"/>
  <c r="D45" i="2"/>
  <c r="C45" i="2"/>
  <c r="D43" i="2"/>
  <c r="C43" i="2"/>
  <c r="D40" i="2"/>
  <c r="C40" i="2"/>
  <c r="D58" i="2"/>
  <c r="C58" i="2"/>
  <c r="D64" i="2"/>
  <c r="C64" i="2"/>
  <c r="D39" i="2"/>
  <c r="C39" i="2"/>
  <c r="D44" i="2"/>
  <c r="C44" i="2"/>
  <c r="D51" i="2"/>
  <c r="C51" i="2"/>
  <c r="D41" i="2"/>
  <c r="C41" i="2"/>
  <c r="D61" i="2"/>
  <c r="C61" i="2"/>
  <c r="D37" i="2"/>
  <c r="C37" i="2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D40" i="1"/>
  <c r="C40" i="1"/>
  <c r="C4" i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D3" i="1"/>
  <c r="C3" i="1"/>
  <c r="E51" i="2" l="1"/>
  <c r="E39" i="2"/>
  <c r="E43" i="2"/>
  <c r="E18" i="2"/>
  <c r="E53" i="2"/>
  <c r="E38" i="2"/>
  <c r="E49" i="2"/>
  <c r="E52" i="2"/>
  <c r="E19" i="2"/>
  <c r="E66" i="2"/>
  <c r="E46" i="2"/>
  <c r="E28" i="2"/>
  <c r="E50" i="2"/>
  <c r="E61" i="2"/>
  <c r="E58" i="2"/>
  <c r="E34" i="2"/>
  <c r="E31" i="2"/>
  <c r="E23" i="2"/>
  <c r="E15" i="2"/>
  <c r="E33" i="2"/>
  <c r="E12" i="2"/>
  <c r="E47" i="2"/>
  <c r="E3" i="2"/>
  <c r="E9" i="2"/>
  <c r="E57" i="2"/>
  <c r="E7" i="2"/>
  <c r="E60" i="2"/>
  <c r="E27" i="2"/>
  <c r="E4" i="2"/>
  <c r="E54" i="2"/>
  <c r="E11" i="2"/>
  <c r="E15" i="4"/>
  <c r="E37" i="2"/>
  <c r="E41" i="2"/>
  <c r="E44" i="2"/>
  <c r="E64" i="2"/>
  <c r="E40" i="2"/>
  <c r="E45" i="2"/>
  <c r="E14" i="2"/>
  <c r="E59" i="2"/>
  <c r="E42" i="2"/>
  <c r="E35" i="2"/>
  <c r="E48" i="2"/>
  <c r="E22" i="2"/>
  <c r="E26" i="2"/>
  <c r="E29" i="2"/>
  <c r="E20" i="2"/>
  <c r="E67" i="2"/>
  <c r="E24" i="2"/>
  <c r="E62" i="2"/>
  <c r="E8" i="2"/>
  <c r="E55" i="2"/>
  <c r="E13" i="2"/>
  <c r="E21" i="2"/>
  <c r="E65" i="2"/>
  <c r="E63" i="2"/>
  <c r="E32" i="2"/>
  <c r="E30" i="2"/>
  <c r="E17" i="2"/>
  <c r="E5" i="2"/>
  <c r="E36" i="2"/>
  <c r="E16" i="2"/>
  <c r="E25" i="2"/>
  <c r="E6" i="2"/>
  <c r="E32" i="4"/>
  <c r="E28" i="4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36" i="4"/>
  <c r="E26" i="4"/>
  <c r="E20" i="4"/>
  <c r="E16" i="4"/>
  <c r="E7" i="1"/>
  <c r="E5" i="1"/>
  <c r="E12" i="4"/>
  <c r="E10" i="4"/>
  <c r="E37" i="1"/>
  <c r="E39" i="1"/>
  <c r="E24" i="4"/>
  <c r="E8" i="4"/>
  <c r="E38" i="1"/>
  <c r="E34" i="1"/>
  <c r="E30" i="1"/>
  <c r="E26" i="1"/>
  <c r="E22" i="1"/>
  <c r="E18" i="1"/>
  <c r="E14" i="1"/>
  <c r="E44" i="4"/>
  <c r="C16" i="7"/>
  <c r="C15" i="6"/>
  <c r="F15" i="6"/>
  <c r="F16" i="7"/>
  <c r="E46" i="4"/>
  <c r="E50" i="4"/>
  <c r="E48" i="4"/>
  <c r="E64" i="4"/>
  <c r="E62" i="4"/>
  <c r="E50" i="1"/>
  <c r="E49" i="4"/>
  <c r="E41" i="4"/>
  <c r="E66" i="4"/>
  <c r="E67" i="1"/>
  <c r="E61" i="1"/>
  <c r="E59" i="1"/>
  <c r="E57" i="1"/>
  <c r="E65" i="1"/>
  <c r="E63" i="1"/>
  <c r="E55" i="1"/>
  <c r="E53" i="1"/>
  <c r="E51" i="1"/>
  <c r="E47" i="1"/>
  <c r="E45" i="1"/>
  <c r="E43" i="1"/>
  <c r="E41" i="1"/>
  <c r="E40" i="4"/>
  <c r="E61" i="4"/>
  <c r="E40" i="1"/>
  <c r="E66" i="1"/>
  <c r="E64" i="1"/>
  <c r="E62" i="1"/>
  <c r="E60" i="1"/>
  <c r="E58" i="1"/>
  <c r="E56" i="1"/>
  <c r="E54" i="1"/>
  <c r="E52" i="1"/>
  <c r="E56" i="4"/>
  <c r="E58" i="4"/>
  <c r="E54" i="4"/>
  <c r="E51" i="4"/>
  <c r="E55" i="4"/>
  <c r="E63" i="4"/>
  <c r="E48" i="1"/>
  <c r="E46" i="1"/>
  <c r="E44" i="1"/>
  <c r="E42" i="1"/>
  <c r="E53" i="4"/>
  <c r="E60" i="4"/>
  <c r="E65" i="4"/>
  <c r="E67" i="4"/>
  <c r="E42" i="4"/>
  <c r="E49" i="1"/>
  <c r="E52" i="4"/>
  <c r="E57" i="4"/>
  <c r="E59" i="4"/>
  <c r="E47" i="4"/>
  <c r="E45" i="4"/>
  <c r="E43" i="4"/>
  <c r="E33" i="4"/>
  <c r="E31" i="4"/>
  <c r="E27" i="4"/>
  <c r="E23" i="4"/>
  <c r="E17" i="4"/>
  <c r="E9" i="4"/>
  <c r="E7" i="4"/>
  <c r="E4" i="4"/>
  <c r="E3" i="1"/>
  <c r="E36" i="1"/>
  <c r="E32" i="1"/>
  <c r="E28" i="1"/>
  <c r="E24" i="1"/>
  <c r="E20" i="1"/>
  <c r="E16" i="1"/>
  <c r="E12" i="1"/>
  <c r="E10" i="1"/>
  <c r="E8" i="1"/>
  <c r="E6" i="1"/>
  <c r="E4" i="1"/>
  <c r="E3" i="4"/>
  <c r="E5" i="4"/>
  <c r="E14" i="4"/>
  <c r="E19" i="4"/>
  <c r="E21" i="4"/>
  <c r="E30" i="4"/>
  <c r="E35" i="4"/>
  <c r="E37" i="4"/>
  <c r="E39" i="4"/>
  <c r="E18" i="4"/>
  <c r="E25" i="4"/>
  <c r="E34" i="4"/>
  <c r="E6" i="4"/>
  <c r="E11" i="4"/>
  <c r="E13" i="4"/>
  <c r="E29" i="4"/>
  <c r="E38" i="4"/>
  <c r="I16" i="7" l="1"/>
</calcChain>
</file>

<file path=xl/sharedStrings.xml><?xml version="1.0" encoding="utf-8"?>
<sst xmlns="http://schemas.openxmlformats.org/spreadsheetml/2006/main" count="1440" uniqueCount="175">
  <si>
    <t>Наименование МФО</t>
  </si>
  <si>
    <t>Темп прироста за 12 мес., %</t>
  </si>
  <si>
    <t>Место в рэнкинге на 01.07.21</t>
  </si>
  <si>
    <t>Портфель микрозаймов 01.07.21, млн руб.</t>
  </si>
  <si>
    <t>Портфель микрозаймов 01.07.20, млн руб.</t>
  </si>
  <si>
    <t>Алтайский фонд микрозаймов</t>
  </si>
  <si>
    <t>Амурская региональная микрокредитная компания</t>
  </si>
  <si>
    <t>Архангельский региональный фонд «Развитие»</t>
  </si>
  <si>
    <t>Астраханский фонд поддержки МСП</t>
  </si>
  <si>
    <t>Микрокредитная компания малого бизнеса Республики Башкортостан</t>
  </si>
  <si>
    <t>Фонд поддержки МСП Вологодской области</t>
  </si>
  <si>
    <t>Фонд «МКК Еврейской АО»</t>
  </si>
  <si>
    <t>Фонд развития промышленности Забайкальского края</t>
  </si>
  <si>
    <t>Фонд микрокредитования Иркутской области</t>
  </si>
  <si>
    <t>Камчатский государственный фонд поддержки предпринимательства</t>
  </si>
  <si>
    <t>Государственный фонд поддержки предпринимательства Кемеровской области</t>
  </si>
  <si>
    <t>Кировский областной фонд поддержки МСП</t>
  </si>
  <si>
    <t>Фонд микрофинансирования Краснодарского края</t>
  </si>
  <si>
    <t>Фонд микрофинансирования предпринимательства Республики Крым</t>
  </si>
  <si>
    <t>Фонд микрофинансирования Курганской области</t>
  </si>
  <si>
    <t>Центр поддержки предпринимательства Курской области</t>
  </si>
  <si>
    <t>Липецкий областной фонд поддержки малого и среднего предпринимательства</t>
  </si>
  <si>
    <t>Фонд поддержки предпринимательства и Центр микрофинансирования Республики Мордовия</t>
  </si>
  <si>
    <t>Новгородский фонд поддержки малого предпринимательства</t>
  </si>
  <si>
    <t>Фонд микрофинансирования НСО (Новосибирск)</t>
  </si>
  <si>
    <t>Фонд микрофинансирования Орловской области</t>
  </si>
  <si>
    <t>Гарантийная микрофинансовая организация «Поручитель» (Пензенская обл.)</t>
  </si>
  <si>
    <t>Ростовское региональное агентство поддержки предпринимательства</t>
  </si>
  <si>
    <t>Фонд микрокредитования субъектов малого предпринимательства в Саратовской области</t>
  </si>
  <si>
    <t>МКК Фонд развития предпринимательства Республики Саха (Якутия)</t>
  </si>
  <si>
    <t>Свердловский областной фонд поддержки предпринимательства</t>
  </si>
  <si>
    <t>Смоленский областной фонд поддержки предпринимательства</t>
  </si>
  <si>
    <t>Ставропольский краевой фонд микрофинансирования</t>
  </si>
  <si>
    <t>Фонд поддержки предпринимательства города Таганрога</t>
  </si>
  <si>
    <t>НО «Фонд поддержки предпринимательства Республики Татарстан»</t>
  </si>
  <si>
    <t>Удмуртский фонд развития предпринимательства</t>
  </si>
  <si>
    <t>Фонд микрокредитования МСП МО «город Усть-Кут»</t>
  </si>
  <si>
    <t>ФПМП Хабаровского края</t>
  </si>
  <si>
    <t>«АПМБ» (Республика Чувашия)</t>
  </si>
  <si>
    <t>Югорская региональная микрокредитная компания</t>
  </si>
  <si>
    <t>Фонд развития города Якутска</t>
  </si>
  <si>
    <t>Фонд поддержки МСП Ярославской области</t>
  </si>
  <si>
    <t>ГК Eqvanta (Быстроденьги и Турбозайм)</t>
  </si>
  <si>
    <t>SimpleFinance</t>
  </si>
  <si>
    <t>Агроинтегратор</t>
  </si>
  <si>
    <t>Академическая</t>
  </si>
  <si>
    <t>Арифметика</t>
  </si>
  <si>
    <t>Ваш инвестор</t>
  </si>
  <si>
    <t>Webbankir</t>
  </si>
  <si>
    <t>ГК Twino (Макро и Веритас)</t>
  </si>
  <si>
    <t>Главный займ (Колибри деньги)</t>
  </si>
  <si>
    <t>Стабильные финансы (Гринмани)</t>
  </si>
  <si>
    <t>Денежная единица</t>
  </si>
  <si>
    <t>ГК До зарплаты (ДЗП-Центр и Союз 5)</t>
  </si>
  <si>
    <t>Займер</t>
  </si>
  <si>
    <t>Zaymigo</t>
  </si>
  <si>
    <t>КарМани</t>
  </si>
  <si>
    <t>Киберлэндинг (Cash-U Finance)</t>
  </si>
  <si>
    <t>Кредито24 (бывш. Монедо)</t>
  </si>
  <si>
    <t>Лайм-Займ</t>
  </si>
  <si>
    <t>MoneyMan</t>
  </si>
  <si>
    <t>Платиза.ру</t>
  </si>
  <si>
    <t>Профиреал</t>
  </si>
  <si>
    <t>ГК Summit (Саммит и ДоброЗайм)</t>
  </si>
  <si>
    <t>Срочноденьги</t>
  </si>
  <si>
    <t>ГК Финбридж (бывш. Деньги Сразу)</t>
  </si>
  <si>
    <t>ФИНТЕРРА</t>
  </si>
  <si>
    <t>Форвард</t>
  </si>
  <si>
    <t>ЦФП (VIVA Деньги)</t>
  </si>
  <si>
    <t>ЭйрЛоанс (Kviku)</t>
  </si>
  <si>
    <t>Таблица 1. Рэнкинг МФО по общему размеру портфеля микрозаймов на 01.07.2021 (тело долга с учетом просроченной задолженности)</t>
  </si>
  <si>
    <t>Объем выданных микрозаймов за 1пг2020, млн руб.</t>
  </si>
  <si>
    <t>Темп прироста, %</t>
  </si>
  <si>
    <t>Место в рэнкинге за 1пг2021</t>
  </si>
  <si>
    <t>Объем выданных микрозаймов за 1пг2021, млн руб.</t>
  </si>
  <si>
    <t>Таблица 2. Рэнкинг МФО по объему выданных микрозаймов за 1-е полугодие 2021 года</t>
  </si>
  <si>
    <t>Таблица 3. Рэнкинг МФО по портфелю микрозаймов ФЛ «до зарплаты» (PDL) на 01.07.2021</t>
  </si>
  <si>
    <t>На 01.07.20</t>
  </si>
  <si>
    <t>Темп прироста портфеля за 12 мес., %</t>
  </si>
  <si>
    <t>Темп прироста портфеля без учёта NPL90+ за 12 мес., %</t>
  </si>
  <si>
    <t>Портфель PDL-микрозаймов, млн руб.</t>
  </si>
  <si>
    <t>Портфель PDL без NPL90+, млн руб.</t>
  </si>
  <si>
    <t>Портфель PDL без NPL30+, млн руб.</t>
  </si>
  <si>
    <t>ГК Финбридж (бывш. Деньги Сразу)*</t>
  </si>
  <si>
    <t>ГК Twino (Макро и Веритас)**</t>
  </si>
  <si>
    <t>н/д</t>
  </si>
  <si>
    <t>МигКредит</t>
  </si>
  <si>
    <t>На 01.07.21</t>
  </si>
  <si>
    <t>ГК Summit (Саммит и ДоброЗайм)****</t>
  </si>
  <si>
    <t>**Портфель PDL-микрозаймов на балансе ООО МКК "Макро" 1 125млн руб. на 01.07.2021 и 766 млн руб. на 01.07.2020. Портфель на балансе ООО МФК "Веритас" 1 853 млн руб. на 01.07.2021 и 1 523 млн руб. на 01.07.2020, портфель без NPL90+ составил 1201 / 906 млн руб. соответственно</t>
  </si>
  <si>
    <t>Темп прироста выдачи, %</t>
  </si>
  <si>
    <t>Таблица 4. Рэнкинг МФО по объему выданных микрозаймов ФЛ «до зарплаты» (PDL) за 1-е полугодие 2021 года</t>
  </si>
  <si>
    <t>Объем выданных PDL-микрозаймов за 1пг2021, млн руб.</t>
  </si>
  <si>
    <t>Доля онлайн в структуре PDL-выдач за 1пг2021, %</t>
  </si>
  <si>
    <t>Объем выданных PDL-микрозаймов за за 1пг2020, млн руб.</t>
  </si>
  <si>
    <t>Доля онлайн в структуре PDL-выдач за за 1пг2020, %</t>
  </si>
  <si>
    <t>ГК Summit (Саммит и ДоброЗайм)***</t>
  </si>
  <si>
    <t>ГК До зарплаты (ДЗП-Центр и Союз 5)***</t>
  </si>
  <si>
    <t>***Портфель PDL-микрозаймов на балансе ООО МКК "ДЗП-Центр»"  481 млн руб. на 01.07.2021 и 461 млн руб. на 01.07.2020, портфель без NPL90+ составил 30 / 4 млн руб. соответственно. Портфель на балансе ООО МКК "Союз-5" 14 млн руб. на 01.07.2021 и 1 млн руб. на 01.07.2020, портфель без NPL90+ составил 13 / 0 млн руб. соответственно.</t>
  </si>
  <si>
    <t>Даглизингфонд</t>
  </si>
  <si>
    <t xml:space="preserve"> - </t>
  </si>
  <si>
    <t>Таблица 5. Рэнкинг МФО по портфелю потребительских микрозаймов ФЛ (IL) на 01.01.2021</t>
  </si>
  <si>
    <t>Место в рэнкинге на 01.01.21</t>
  </si>
  <si>
    <t>Темп прироста портфеля (без учёта NPL90+) за 12 мес., %</t>
  </si>
  <si>
    <t>Портфель IL-микрозаймов, млн руб.</t>
  </si>
  <si>
    <t>Портфель IL без NPL90+, млн руб.</t>
  </si>
  <si>
    <t>Портфель IL без NPL30+, млн руб.</t>
  </si>
  <si>
    <t>Таблица 5. Рэнкинг МФО по портфелю потребительских микрозаймов ФЛ (IL) на 01.07.2021</t>
  </si>
  <si>
    <t>ГК До зарплаты (ДЗП-Центр и Союз 5)*</t>
  </si>
  <si>
    <t>ГК Финбридж (бывш. Деньги Сразу)**</t>
  </si>
  <si>
    <t xml:space="preserve">**Портфель IL-микрозаймов на балансе ООО "МКК СКОРОСТЬ ФИНАНС" - 1 185 млн руб. на 01.07.2021 и 627 млн руб. на 01.07.2020, портфель PDL без NPL90+ составил 506 / 248 млн руб. соответственно. Портфель на балансе ООО «МИКРОКРЕДИТНАЯ КОМПАНИЯ УНИВЕРСАЛЬНОГО ФИНАНСИРОВАНИЯ» 581 млн руб. на 01.07.2021 и 136 млн руб. на 01.07.2020, портфель без NPL90+ составил 325 / 101 млн руб.соответственно. Портфель на балансе ООО "МФК НОВОЕ ФИНАНСИРОВАНИЕ" 149 млн руб. на 01.07.2021 и 58 млн руб. на 01.07.2020, портфель без NPL90+ составил 67 /28 млн руб. соответственно. </t>
  </si>
  <si>
    <t>*Портфель PDL-микрозаймов на балансе ООО "МКК СКОРОСТЬ ФИНАНС" - 1 382 млн руб. на 01.07.2021 и 1 213 млн руб. на 01.07.2020, портфель PDL без NPL90+ составил 201 / 416 млн руб. соответственно. Портфель на балансе ООО «МИКРОКРЕДИТНАЯ КОМПАНИЯ УНИВЕРСАЛЬНОГО ФИНАНСИРОВАНИЯ» 2 573 млн руб. на 01.07.2021 и 1 556 млн руб. на 01.07.2020, портфель без NPL90+ составил 873 / 470 млн руб. соответственно. Портфель на балансе ООО "МФК НОВОЕ ФИНАНСИРОВАНИЕ" 869 млн руб. на 01.07.2021 и 22 млн руб. на 01.07.2020, портфель без NPL90+ составил 593 /10 млн руб. соответственно. Портфель на балансе ООО "МКК КАНГАРИЯ" 406 млн руб. на 01.07.2021 и 87 млн руб. на 01.07.2020, портфель без NPL90+ составил 199 /54 млн руб соответственно.</t>
  </si>
  <si>
    <t>Место в рэнкинге за 2020</t>
  </si>
  <si>
    <t>Таблица 6. Рэнкинг МФО по объему выданных потребительских микрозаймов ФЛ (IL) за 1-е полугодие 2021 года</t>
  </si>
  <si>
    <t>Объем выданных IL-микрозаймов за 1пг2021, млн руб.</t>
  </si>
  <si>
    <t>Доля онлайн в структуре IL-выдач за 1пг2021, %</t>
  </si>
  <si>
    <t>Уровень одобрения по заявкам новых клиентов за 1пг2021? %</t>
  </si>
  <si>
    <t>Уровень одобрения по заявкам новых клиентов за за 1пг2020, %</t>
  </si>
  <si>
    <t>Уровень одобрения по заявкам новых клиентов за 1пг2021, %</t>
  </si>
  <si>
    <t>Темп прироста портфеля микрозаймов за 12 мес., %</t>
  </si>
  <si>
    <t>Портфель микрозаймов, млн руб. (с учетом просроченной задолженности)</t>
  </si>
  <si>
    <t>Доля NPL90+ в портфеле микрозаймов, %</t>
  </si>
  <si>
    <t>Портфель займов (свыше 5 млн руб.), млн руб.</t>
  </si>
  <si>
    <t>Таблица 7. Рэнкинг МФО по портфелю микрозаймов ЮЛ и ИП на 01.07.2021</t>
  </si>
  <si>
    <t>Объем выданных SME-микрозаймов за 2020, млн руб.</t>
  </si>
  <si>
    <t>Объем выданных SME-микрозаймов за 2019, млн руб.</t>
  </si>
  <si>
    <t>Темп прироста  за 12 мес., %</t>
  </si>
  <si>
    <t>Таблица 8. Рэнкинг МФО по объему выданных микрозаймов ЮЛ и ИП за 1пг2021 год</t>
  </si>
  <si>
    <t>Объем выданных SME-микрозаймов за 1пг2020, млн руб.</t>
  </si>
  <si>
    <t>Объем выданных SME-микрозаймов за 1пг2021, млн руб.</t>
  </si>
  <si>
    <t>Таблица 9. Рэнкинг МФО по размеру портфеля POS-микрозаймов на 01.07.2021</t>
  </si>
  <si>
    <t>Темп прироста портфеля без учета NPL90+ за 12 мес., %</t>
  </si>
  <si>
    <t>Портфель POS-микрозаймов, млн руб.</t>
  </si>
  <si>
    <t>Портфель POS-микрозаймов без учета NPL90+</t>
  </si>
  <si>
    <t>на 01.07.2021</t>
  </si>
  <si>
    <t>на 01.07.2020</t>
  </si>
  <si>
    <t>Таблица 10. Рэнкинг МФО по объему выданных POS-микрозаймов за 1пг2021 год</t>
  </si>
  <si>
    <t>Объем выданных POS-микрозаймов за 1пг2021, млн руб.</t>
  </si>
  <si>
    <t>Объем выданных POS-микрозаймов за 1пг2020, млн руб.</t>
  </si>
  <si>
    <t>Таблица 11. Рэнкинг МФО по объему чистой прибыли за 1пг2021 год</t>
  </si>
  <si>
    <t>Чистая прибыль за I полугодие 2021 года, млн руб.</t>
  </si>
  <si>
    <t>Чистая прибыль за I полугодие 2020, млн руб.</t>
  </si>
  <si>
    <t>Объем выданных IL-микрозаймов за 1пг2020, млн руб.</t>
  </si>
  <si>
    <t>Доля онлайн в структуре IL-выдач за 1пг2020, %</t>
  </si>
  <si>
    <t>Уровень одобрения по заявкам новых клиентов за 1пг2020, %</t>
  </si>
  <si>
    <t>7715825027, 9701125685</t>
  </si>
  <si>
    <t>3664223480, 6162070130, 9201526872, 6162073437</t>
  </si>
  <si>
    <t>0278200683</t>
  </si>
  <si>
    <t>7325081622, 7702820127</t>
  </si>
  <si>
    <t>7838500558, 7838031377</t>
  </si>
  <si>
    <t>7722355735, 7706780186</t>
  </si>
  <si>
    <t>7728771940, 7725850061</t>
  </si>
  <si>
    <t>1326960625, 1326211337</t>
  </si>
  <si>
    <t>0571035216</t>
  </si>
  <si>
    <t>0571035840</t>
  </si>
  <si>
    <t>Таблица 8. Рэнкинг МФО по объему выданных микрозаймов ЮЛ и ИП за 1-е полугодие 2021 года</t>
  </si>
  <si>
    <t>Место в рэнкинге за 1пг21</t>
  </si>
  <si>
    <t>Объем выданных POS-микрозаймов за 1пг21, млн руб.</t>
  </si>
  <si>
    <t>Объем выданных POS-микрозаймов за 1пг20, млн руб.</t>
  </si>
  <si>
    <t>Ок, звонил</t>
  </si>
  <si>
    <t>Стоимость привлечения нового клиента за I полугодие 2020 года, тыс. руб.</t>
  </si>
  <si>
    <t>Стоимость привлечения нового клиента за I полугодие 2021 года, тыс. руб.</t>
  </si>
  <si>
    <t>Таблица 12. Рэнкинг стоимости привлечения нового клиента</t>
  </si>
  <si>
    <t>Таблица 13. Рэнкинг МФО по собственному капиталу и целевому финансированию на 01.07.2021</t>
  </si>
  <si>
    <t>Объем собственного капитала на 01.07.21, млн руб.</t>
  </si>
  <si>
    <t>Объем собственного капитала на 01.07.20, млн руб.</t>
  </si>
  <si>
    <t>Место в рэнкинге за 1пг20</t>
  </si>
  <si>
    <t>***Портфель IL-микрозаймов на балансе ООО МКК "ДоброЗайм Быстрое решение" 50 млн руб. на 01.07.2021 и 29 млн руб. на 01.07.2020, портфель без NPL90+ составил 26 / 11 млн руб. соответственно. Портфель на балансе ООО МКК "САММИТ" 1014 млн руб. на 01.07.2021 и 1111 млн руб. на 01.07.2020, портфель без NPL90+ составил 605 / 387 млн руб. соответственно.</t>
  </si>
  <si>
    <t>7733783309</t>
  </si>
  <si>
    <t>****Портфель PDL-микрозаймов на балансе ООО МКК "ДоброЗайм Быстрое решение" 4 млн руб. на 01.07.2021 и 3 млн руб. на 01.07.2020, портфель без NPL90+ составил 2 / 1 млн руб. соответственно. Портфель на балансе ООО МКК "САММИТ" 69 млн руб. на 01.07.2021 и 163 млн руб. на 01.07.2020, портфель без NPL90+ составил 43 / 34 млн руб. соответственно.</t>
  </si>
  <si>
    <t>Таблица 9. Рэнкинг МФО по объему чистой прибыли за 1пг2021 год</t>
  </si>
  <si>
    <t>Таблица 10. Рэнкинг стоимости привлечения нового клиента за 1-е полугодие 2021 года</t>
  </si>
  <si>
    <t>Таблица 11. Рэнкинг МФО по собственному капиталу и целевому финансированию на 01.07.2021</t>
  </si>
  <si>
    <t>ПапаФинанс</t>
  </si>
  <si>
    <t>*Портфель IL-микрозаймов на балансе ООО МКК "ДЗП-Центр"  2 666 млн руб. на 01.07.2021 и 1 549 млн руб. на 01.07.2020, портфель без NPL90+ составил 1 458 / 1 196 млн руб. соответственно. Портфель на балансе ООО МКК "Союз-5" 299 млн руб. на 01.07.2021 и 87 млн руб. на 01.07.2020, портфель без NPL90+ составил 295 / 26 млн руб. соответственно.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</si>
</sst>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name val="Calibri"/>
      <family val="2"/>
      <scheme val="minor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right" vertical="center" wrapText="1" indent="2"/>
    </xf>
    <xf numFmtId="14" fontId="3" fillId="0" borderId="0" xfId="0" applyNumberFormat="1" applyFont="1" applyAlignment="1">
      <alignment horizontal="left" indent="2"/>
    </xf>
    <xf numFmtId="14" fontId="5" fillId="0" borderId="0" xfId="0" applyNumberFormat="1" applyFont="1" applyAlignment="1" applyProtection="1">
      <alignment horizontal="center"/>
      <protection locked="0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right" indent="2"/>
    </xf>
    <xf numFmtId="14" fontId="5" fillId="0" borderId="0" xfId="0" applyNumberFormat="1" applyFont="1" applyAlignment="1" applyProtection="1">
      <alignment horizontal="center" wrapText="1"/>
      <protection locked="0"/>
    </xf>
    <xf numFmtId="0" fontId="0" fillId="2" borderId="0" xfId="0" applyFill="1"/>
    <xf numFmtId="3" fontId="0" fillId="0" borderId="0" xfId="0" applyNumberFormat="1"/>
    <xf numFmtId="3" fontId="0" fillId="2" borderId="0" xfId="0" applyNumberFormat="1" applyFill="1"/>
    <xf numFmtId="9" fontId="0" fillId="0" borderId="0" xfId="0" applyNumberFormat="1"/>
    <xf numFmtId="9" fontId="0" fillId="2" borderId="0" xfId="0" applyNumberFormat="1" applyFill="1"/>
    <xf numFmtId="1" fontId="0" fillId="0" borderId="0" xfId="0" applyNumberFormat="1" applyAlignment="1">
      <alignment horizontal="left" indent="2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 indent="2"/>
    </xf>
    <xf numFmtId="0" fontId="0" fillId="0" borderId="0" xfId="0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0" fillId="0" borderId="0" xfId="0" applyNumberFormat="1" applyAlignment="1">
      <alignment horizontal="left"/>
    </xf>
    <xf numFmtId="9" fontId="0" fillId="0" borderId="1" xfId="0" applyNumberFormat="1" applyBorder="1" applyAlignment="1">
      <alignment horizontal="right" indent="2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right" indent="2"/>
    </xf>
    <xf numFmtId="9" fontId="0" fillId="0" borderId="0" xfId="0" applyNumberFormat="1" applyAlignment="1">
      <alignment horizontal="right" indent="2"/>
    </xf>
    <xf numFmtId="9" fontId="4" fillId="0" borderId="1" xfId="0" applyNumberFormat="1" applyFont="1" applyBorder="1" applyAlignment="1">
      <alignment horizontal="center" wrapText="1"/>
    </xf>
    <xf numFmtId="3" fontId="0" fillId="0" borderId="1" xfId="0" applyNumberFormat="1" applyFill="1" applyBorder="1" applyAlignment="1">
      <alignment horizontal="right" indent="2"/>
    </xf>
    <xf numFmtId="9" fontId="0" fillId="0" borderId="1" xfId="0" applyNumberFormat="1" applyFill="1" applyBorder="1" applyAlignment="1">
      <alignment horizontal="right" indent="2"/>
    </xf>
    <xf numFmtId="0" fontId="0" fillId="0" borderId="0" xfId="0" applyAlignment="1">
      <alignment horizontal="center"/>
    </xf>
    <xf numFmtId="9" fontId="0" fillId="0" borderId="0" xfId="0" applyNumberFormat="1" applyAlignment="1">
      <alignment vertical="center"/>
    </xf>
    <xf numFmtId="0" fontId="0" fillId="0" borderId="0" xfId="0" applyFill="1"/>
    <xf numFmtId="14" fontId="0" fillId="0" borderId="0" xfId="0" applyNumberFormat="1"/>
    <xf numFmtId="3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1" fontId="0" fillId="0" borderId="0" xfId="0" applyNumberFormat="1"/>
    <xf numFmtId="2" fontId="0" fillId="0" borderId="0" xfId="0" applyNumberFormat="1" applyBorder="1"/>
    <xf numFmtId="1" fontId="0" fillId="0" borderId="0" xfId="0" applyNumberFormat="1" applyBorder="1"/>
    <xf numFmtId="3" fontId="0" fillId="0" borderId="0" xfId="0" applyNumberFormat="1" applyBorder="1"/>
    <xf numFmtId="9" fontId="0" fillId="0" borderId="0" xfId="0" applyNumberFormat="1" applyBorder="1"/>
    <xf numFmtId="0" fontId="1" fillId="0" borderId="0" xfId="2"/>
    <xf numFmtId="1" fontId="0" fillId="0" borderId="0" xfId="0" applyNumberFormat="1" applyAlignment="1">
      <alignment horizontal="right"/>
    </xf>
    <xf numFmtId="1" fontId="0" fillId="2" borderId="0" xfId="0" applyNumberFormat="1" applyFill="1"/>
    <xf numFmtId="1" fontId="0" fillId="0" borderId="0" xfId="0" applyNumberFormat="1" applyFill="1"/>
    <xf numFmtId="0" fontId="7" fillId="0" borderId="0" xfId="0" applyFont="1" applyAlignment="1">
      <alignment horizontal="left"/>
    </xf>
    <xf numFmtId="0" fontId="4" fillId="0" borderId="1" xfId="2" applyFont="1" applyBorder="1" applyAlignment="1">
      <alignment horizontal="center" vertical="center" wrapText="1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5" fillId="0" borderId="0" xfId="3" applyFont="1"/>
    <xf numFmtId="0" fontId="9" fillId="0" borderId="1" xfId="3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right" vertical="center" wrapText="1" indent="2"/>
    </xf>
    <xf numFmtId="49" fontId="0" fillId="0" borderId="0" xfId="0" applyNumberFormat="1"/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 indent="2"/>
    </xf>
    <xf numFmtId="49" fontId="0" fillId="0" borderId="0" xfId="0" applyNumberFormat="1" applyAlignment="1">
      <alignment horizontal="left" indent="2"/>
    </xf>
    <xf numFmtId="49" fontId="0" fillId="0" borderId="0" xfId="0" applyNumberFormat="1" applyFill="1"/>
    <xf numFmtId="49" fontId="7" fillId="0" borderId="0" xfId="0" applyNumberFormat="1" applyFont="1" applyAlignment="1">
      <alignment horizontal="left"/>
    </xf>
    <xf numFmtId="0" fontId="0" fillId="0" borderId="1" xfId="0" applyBorder="1" applyAlignment="1">
      <alignment horizontal="left" indent="2"/>
    </xf>
    <xf numFmtId="3" fontId="0" fillId="0" borderId="1" xfId="0" applyNumberFormat="1" applyBorder="1" applyAlignment="1">
      <alignment horizontal="right" indent="1"/>
    </xf>
    <xf numFmtId="1" fontId="0" fillId="0" borderId="1" xfId="0" applyNumberFormat="1" applyBorder="1" applyAlignment="1">
      <alignment horizontal="right" indent="1"/>
    </xf>
    <xf numFmtId="1" fontId="0" fillId="0" borderId="1" xfId="0" applyNumberFormat="1" applyBorder="1" applyAlignment="1">
      <alignment horizontal="left" indent="2"/>
    </xf>
    <xf numFmtId="2" fontId="0" fillId="0" borderId="1" xfId="0" applyNumberFormat="1" applyBorder="1" applyAlignment="1">
      <alignment horizontal="left" indent="2"/>
    </xf>
    <xf numFmtId="1" fontId="0" fillId="0" borderId="1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right" indent="2"/>
    </xf>
    <xf numFmtId="0" fontId="0" fillId="0" borderId="1" xfId="0" applyFill="1" applyBorder="1" applyAlignment="1">
      <alignment horizontal="left" indent="2"/>
    </xf>
    <xf numFmtId="0" fontId="4" fillId="0" borderId="1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64" fontId="0" fillId="0" borderId="0" xfId="4" applyNumberFormat="1" applyFont="1"/>
    <xf numFmtId="164" fontId="4" fillId="0" borderId="1" xfId="2" applyNumberFormat="1" applyFont="1" applyBorder="1" applyAlignment="1">
      <alignment horizontal="center" vertical="center" wrapText="1"/>
    </xf>
    <xf numFmtId="164" fontId="0" fillId="0" borderId="0" xfId="0" applyNumberFormat="1"/>
    <xf numFmtId="164" fontId="0" fillId="2" borderId="0" xfId="0" applyNumberFormat="1" applyFill="1"/>
    <xf numFmtId="164" fontId="0" fillId="0" borderId="0" xfId="0" applyNumberFormat="1" applyAlignment="1">
      <alignment horizontal="right"/>
    </xf>
    <xf numFmtId="3" fontId="0" fillId="0" borderId="0" xfId="0" applyNumberFormat="1" applyFill="1"/>
    <xf numFmtId="164" fontId="0" fillId="0" borderId="0" xfId="0" applyNumberFormat="1" applyFill="1"/>
    <xf numFmtId="0" fontId="0" fillId="0" borderId="0" xfId="0" applyFill="1" applyAlignment="1">
      <alignment horizontal="center"/>
    </xf>
    <xf numFmtId="165" fontId="0" fillId="0" borderId="1" xfId="0" applyNumberFormat="1" applyBorder="1" applyAlignment="1">
      <alignment horizontal="right" indent="2"/>
    </xf>
    <xf numFmtId="164" fontId="0" fillId="0" borderId="1" xfId="0" applyNumberFormat="1" applyBorder="1" applyAlignment="1">
      <alignment horizontal="right" indent="2"/>
    </xf>
    <xf numFmtId="164" fontId="0" fillId="0" borderId="1" xfId="0" applyNumberFormat="1" applyFill="1" applyBorder="1" applyAlignment="1">
      <alignment horizontal="right" indent="2"/>
    </xf>
    <xf numFmtId="3" fontId="0" fillId="0" borderId="0" xfId="0" applyNumberFormat="1" applyAlignment="1">
      <alignment horizontal="right" indent="2"/>
    </xf>
    <xf numFmtId="3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right" indent="2"/>
    </xf>
    <xf numFmtId="0" fontId="0" fillId="0" borderId="1" xfId="0" applyFill="1" applyBorder="1" applyAlignment="1">
      <alignment horizontal="center" vertical="center"/>
    </xf>
    <xf numFmtId="49" fontId="0" fillId="0" borderId="0" xfId="0" applyNumberFormat="1" applyFill="1" applyAlignment="1">
      <alignment horizontal="left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</cellXfs>
  <cellStyles count="5">
    <cellStyle name="Обычный" xfId="0" builtinId="0"/>
    <cellStyle name="Обычный 2 2" xfId="1" xr:uid="{B8094E81-2077-4E8A-B1DA-C44767C0883C}"/>
    <cellStyle name="Обычный 2 2 2 2" xfId="2" xr:uid="{602528F5-92C5-4A6D-8C02-A5BB17EEFF3E}"/>
    <cellStyle name="Обычный 2 4" xfId="3" xr:uid="{C4B58F37-2471-4276-B13C-5A46AD1FE6FA}"/>
    <cellStyle name="Процентный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nks/MFO/2021/&#1048;&#1090;&#1086;&#1075;&#1080;%201&#1087;&#1075;2021/&#1056;&#1072;&#1073;&#1086;&#1095;&#1072;&#1103;%20&#1076;&#1086;&#1082;&#1091;&#1084;&#1077;&#1085;&#1090;&#1072;&#1094;&#1080;&#1103;/&#1089;&#1091;&#1084;&#1084;&#1072;&#1090;&#1086;&#1088;/&#1075;&#1086;&#1089;&#1052;&#1060;&#1054;%20summator%20v%207012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nks/MFO/2021/&#1048;&#1090;&#1086;&#1075;&#1080;%201&#1087;&#1075;2021/&#1056;&#1072;&#1073;&#1086;&#1095;&#1072;&#1103;%20&#1076;&#1086;&#1082;&#1091;&#1084;&#1077;&#1085;&#1090;&#1072;&#1094;&#1080;&#1103;/&#1089;&#1091;&#1084;&#1084;&#1072;&#1090;&#1086;&#1088;/&#1095;&#1072;&#1089;&#1052;&#1060;&#1054;%20summator%20v%207012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nks/MFO/2021/&#1048;&#1090;&#1086;&#1075;&#1080;%201&#1087;&#1075;2021/&#1056;&#1072;&#1073;&#1086;&#1095;&#1072;&#1103;%20&#1076;&#1086;&#1082;&#1091;&#1084;&#1077;&#1085;&#1090;&#1072;&#1094;&#1080;&#1103;/&#1089;&#1091;&#1084;&#1084;&#1072;&#1090;&#1086;&#1088;/&#1095;&#1072;&#1089;&#1052;&#1060;&#1054;%20summator%20v%2070126%20-%20&#1076;&#1086;&#1087;&#1086;&#1083;&#108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lls"/>
      <sheetName val="Result"/>
      <sheetName val="Трансп"/>
    </sheetNames>
    <sheetDataSet>
      <sheetData sheetId="0"/>
      <sheetData sheetId="1"/>
      <sheetData sheetId="2">
        <row r="3">
          <cell r="A3" t="str">
            <v>Алтайский фонд микрозаймов</v>
          </cell>
          <cell r="B3" t="str">
            <v>Алтай</v>
          </cell>
          <cell r="C3" t="str">
            <v>МКК Фонд Финансирования</v>
          </cell>
          <cell r="D3">
            <v>852684</v>
          </cell>
          <cell r="E3">
            <v>1056093</v>
          </cell>
          <cell r="F3">
            <v>1155294.4639999999</v>
          </cell>
          <cell r="G3">
            <v>1160000</v>
          </cell>
          <cell r="H3">
            <v>445375.13</v>
          </cell>
          <cell r="I3">
            <v>651607</v>
          </cell>
          <cell r="J3">
            <v>814946.77</v>
          </cell>
          <cell r="K3">
            <v>815000</v>
          </cell>
          <cell r="L3">
            <v>434969</v>
          </cell>
          <cell r="M3">
            <v>646184</v>
          </cell>
          <cell r="N3">
            <v>811030.65800000005</v>
          </cell>
          <cell r="O3">
            <v>0</v>
          </cell>
          <cell r="P3">
            <v>202020</v>
          </cell>
          <cell r="Q3">
            <v>198296.05499999999</v>
          </cell>
          <cell r="R3">
            <v>417195</v>
          </cell>
          <cell r="S3">
            <v>803614</v>
          </cell>
          <cell r="T3">
            <v>509129.65</v>
          </cell>
          <cell r="U3">
            <v>900000</v>
          </cell>
        </row>
        <row r="4">
          <cell r="A4" t="str">
            <v>Амурская региональная микрокредитная компания</v>
          </cell>
          <cell r="B4" t="str">
            <v>Амурская</v>
          </cell>
          <cell r="C4" t="str">
            <v>АНО МКК "ЦКПП АО"</v>
          </cell>
          <cell r="D4">
            <v>423589</v>
          </cell>
          <cell r="E4">
            <v>431505</v>
          </cell>
          <cell r="F4">
            <v>432243</v>
          </cell>
          <cell r="H4">
            <v>161216</v>
          </cell>
          <cell r="I4">
            <v>180828</v>
          </cell>
          <cell r="J4">
            <v>199818</v>
          </cell>
          <cell r="K4">
            <v>318556</v>
          </cell>
          <cell r="L4">
            <v>161216</v>
          </cell>
          <cell r="M4">
            <v>180828</v>
          </cell>
          <cell r="N4">
            <v>197488</v>
          </cell>
          <cell r="O4">
            <v>0</v>
          </cell>
          <cell r="P4">
            <v>0</v>
          </cell>
          <cell r="Q4">
            <v>0</v>
          </cell>
          <cell r="R4">
            <v>109628</v>
          </cell>
          <cell r="S4">
            <v>177003</v>
          </cell>
          <cell r="T4">
            <v>90510</v>
          </cell>
          <cell r="U4">
            <v>218739</v>
          </cell>
        </row>
        <row r="5">
          <cell r="A5" t="str">
            <v>Архангельский региональный фонд «Развитие»</v>
          </cell>
          <cell r="B5" t="str">
            <v>Архангельск</v>
          </cell>
          <cell r="C5" t="str">
            <v>Фонд "МКК Развитие"</v>
          </cell>
          <cell r="D5">
            <v>782227.38899999997</v>
          </cell>
          <cell r="E5">
            <v>931663.179</v>
          </cell>
          <cell r="F5">
            <v>972289.03300000005</v>
          </cell>
          <cell r="G5">
            <v>972289.03300000005</v>
          </cell>
          <cell r="H5">
            <v>530810.35600000003</v>
          </cell>
          <cell r="I5">
            <v>692009.91099999996</v>
          </cell>
          <cell r="J5">
            <v>719995.69799999997</v>
          </cell>
          <cell r="K5">
            <v>712.6</v>
          </cell>
          <cell r="L5">
            <v>461012</v>
          </cell>
          <cell r="M5">
            <v>641246</v>
          </cell>
          <cell r="N5">
            <v>661420</v>
          </cell>
          <cell r="O5">
            <v>24500</v>
          </cell>
          <cell r="P5">
            <v>53000</v>
          </cell>
          <cell r="Q5">
            <v>73000</v>
          </cell>
          <cell r="R5">
            <v>104265.289</v>
          </cell>
          <cell r="S5">
            <v>404989.41100000002</v>
          </cell>
          <cell r="T5">
            <v>178160</v>
          </cell>
          <cell r="U5">
            <v>240000</v>
          </cell>
        </row>
        <row r="6">
          <cell r="A6" t="str">
            <v>Астраханский фонд поддержки МСП</v>
          </cell>
          <cell r="B6" t="str">
            <v>Астрахань</v>
          </cell>
          <cell r="C6" t="str">
            <v>АСТРАХАНСКИЙ ФОНД ПОДДЕРЖКИ МСП (МКК)</v>
          </cell>
          <cell r="D6">
            <v>592080</v>
          </cell>
          <cell r="E6">
            <v>591130</v>
          </cell>
          <cell r="F6">
            <v>594457</v>
          </cell>
          <cell r="G6">
            <v>597130</v>
          </cell>
          <cell r="H6">
            <v>391989</v>
          </cell>
          <cell r="I6">
            <v>493314</v>
          </cell>
          <cell r="J6">
            <v>494490</v>
          </cell>
          <cell r="K6">
            <v>532000</v>
          </cell>
          <cell r="L6">
            <v>373295</v>
          </cell>
          <cell r="M6">
            <v>474168</v>
          </cell>
          <cell r="N6">
            <v>477871</v>
          </cell>
          <cell r="O6">
            <v>334</v>
          </cell>
          <cell r="P6">
            <v>334</v>
          </cell>
          <cell r="Q6">
            <v>330</v>
          </cell>
          <cell r="R6">
            <v>116414</v>
          </cell>
          <cell r="S6">
            <v>343379</v>
          </cell>
          <cell r="T6">
            <v>160104</v>
          </cell>
          <cell r="U6">
            <v>295000</v>
          </cell>
        </row>
        <row r="7">
          <cell r="A7" t="str">
            <v>Микрокредитная компания малого бизнеса Республики Башкортостан</v>
          </cell>
          <cell r="B7" t="str">
            <v>Башкирия</v>
          </cell>
          <cell r="C7" t="str">
            <v>Автономная некоммерческая организация "Микрокредитная компания малого бизнеса Республики Башкортостан"</v>
          </cell>
          <cell r="D7">
            <v>822713</v>
          </cell>
          <cell r="E7">
            <v>822713</v>
          </cell>
          <cell r="F7">
            <v>822713</v>
          </cell>
          <cell r="G7">
            <v>822713</v>
          </cell>
          <cell r="H7">
            <v>507271</v>
          </cell>
          <cell r="I7">
            <v>700015</v>
          </cell>
          <cell r="J7">
            <v>664553</v>
          </cell>
          <cell r="K7">
            <v>800000</v>
          </cell>
          <cell r="L7">
            <v>498596</v>
          </cell>
          <cell r="M7">
            <v>695293</v>
          </cell>
          <cell r="N7">
            <v>655936</v>
          </cell>
          <cell r="O7">
            <v>0</v>
          </cell>
          <cell r="P7">
            <v>0</v>
          </cell>
          <cell r="Q7">
            <v>0</v>
          </cell>
          <cell r="R7">
            <v>127176</v>
          </cell>
          <cell r="S7">
            <v>521143</v>
          </cell>
          <cell r="T7">
            <v>223856</v>
          </cell>
          <cell r="U7">
            <v>600000</v>
          </cell>
        </row>
        <row r="8">
          <cell r="A8" t="str">
            <v>Фонд поддержки МСП Вологодской области</v>
          </cell>
          <cell r="B8" t="str">
            <v>Вологда</v>
          </cell>
          <cell r="C8" t="str">
            <v>МКК ВО "Фонд поддержки МСП"</v>
          </cell>
          <cell r="D8">
            <v>1010449</v>
          </cell>
          <cell r="E8">
            <v>1013001</v>
          </cell>
          <cell r="F8">
            <v>1007246</v>
          </cell>
          <cell r="G8">
            <v>1007246</v>
          </cell>
          <cell r="H8">
            <v>577996</v>
          </cell>
          <cell r="I8">
            <v>763779</v>
          </cell>
          <cell r="J8">
            <v>768195</v>
          </cell>
          <cell r="K8">
            <v>780000</v>
          </cell>
          <cell r="L8">
            <v>553992</v>
          </cell>
          <cell r="M8">
            <v>746163</v>
          </cell>
          <cell r="N8">
            <v>764368</v>
          </cell>
          <cell r="O8">
            <v>86273</v>
          </cell>
          <cell r="P8">
            <v>70880</v>
          </cell>
          <cell r="Q8">
            <v>62645</v>
          </cell>
          <cell r="R8">
            <v>208054</v>
          </cell>
          <cell r="S8">
            <v>616622</v>
          </cell>
          <cell r="T8">
            <v>268568</v>
          </cell>
          <cell r="U8">
            <v>450000</v>
          </cell>
        </row>
        <row r="9">
          <cell r="A9" t="str">
            <v>Фонд «МКК Еврейской АО»</v>
          </cell>
          <cell r="B9" t="str">
            <v>Еврейская АО</v>
          </cell>
          <cell r="C9" t="str">
            <v>НКО Фонд "МКК ЕАО"</v>
          </cell>
          <cell r="D9">
            <v>162538</v>
          </cell>
          <cell r="E9">
            <v>164073</v>
          </cell>
          <cell r="F9">
            <v>164707</v>
          </cell>
          <cell r="G9">
            <v>164707</v>
          </cell>
          <cell r="H9">
            <v>42494</v>
          </cell>
          <cell r="I9">
            <v>67462</v>
          </cell>
          <cell r="J9">
            <v>85304</v>
          </cell>
          <cell r="K9">
            <v>98422</v>
          </cell>
          <cell r="L9">
            <v>42494</v>
          </cell>
          <cell r="M9">
            <v>67462</v>
          </cell>
          <cell r="N9">
            <v>85304</v>
          </cell>
          <cell r="O9">
            <v>0</v>
          </cell>
          <cell r="P9">
            <v>0</v>
          </cell>
          <cell r="Q9">
            <v>0</v>
          </cell>
          <cell r="R9">
            <v>34259</v>
          </cell>
          <cell r="S9">
            <v>70484</v>
          </cell>
          <cell r="T9">
            <v>37382</v>
          </cell>
          <cell r="U9">
            <v>70500</v>
          </cell>
        </row>
        <row r="10">
          <cell r="A10" t="str">
            <v>Фонд развития промышленности Забайкальского края</v>
          </cell>
          <cell r="B10" t="str">
            <v>Забайкальский край</v>
          </cell>
          <cell r="C10" t="str">
            <v>Фонд развития промышленности ЗК МКК</v>
          </cell>
          <cell r="D10">
            <v>175246</v>
          </cell>
          <cell r="E10">
            <v>616134</v>
          </cell>
          <cell r="F10">
            <v>617167</v>
          </cell>
          <cell r="G10">
            <v>617167</v>
          </cell>
          <cell r="H10">
            <v>103823</v>
          </cell>
          <cell r="I10">
            <v>208171</v>
          </cell>
          <cell r="J10">
            <v>220476</v>
          </cell>
          <cell r="K10">
            <v>231594</v>
          </cell>
          <cell r="L10">
            <v>102102</v>
          </cell>
          <cell r="M10">
            <v>207715</v>
          </cell>
          <cell r="N10">
            <v>218295</v>
          </cell>
          <cell r="O10">
            <v>43000</v>
          </cell>
          <cell r="P10">
            <v>297066</v>
          </cell>
          <cell r="Q10">
            <v>369870</v>
          </cell>
          <cell r="R10">
            <v>47750</v>
          </cell>
          <cell r="S10">
            <v>183480</v>
          </cell>
          <cell r="T10">
            <v>50480</v>
          </cell>
          <cell r="U10">
            <v>72500</v>
          </cell>
        </row>
        <row r="11">
          <cell r="A11" t="str">
            <v>Фонд микрокредитования Иркутской области</v>
          </cell>
          <cell r="B11" t="str">
            <v>Иркутск</v>
          </cell>
          <cell r="C11" t="str">
            <v>МКК "ФМК ИО"</v>
          </cell>
          <cell r="D11">
            <v>815676</v>
          </cell>
          <cell r="E11">
            <v>917769</v>
          </cell>
          <cell r="F11">
            <v>975808</v>
          </cell>
          <cell r="G11">
            <v>975808</v>
          </cell>
          <cell r="H11">
            <v>528210</v>
          </cell>
          <cell r="I11">
            <v>753943</v>
          </cell>
          <cell r="J11">
            <v>732273</v>
          </cell>
          <cell r="K11">
            <v>820000</v>
          </cell>
          <cell r="L11">
            <v>522891</v>
          </cell>
          <cell r="M11">
            <v>741023</v>
          </cell>
          <cell r="N11">
            <v>723044</v>
          </cell>
          <cell r="O11">
            <v>0</v>
          </cell>
          <cell r="P11">
            <v>0</v>
          </cell>
          <cell r="Q11">
            <v>0</v>
          </cell>
          <cell r="R11">
            <v>206150</v>
          </cell>
          <cell r="S11">
            <v>692173</v>
          </cell>
          <cell r="T11">
            <v>276145</v>
          </cell>
          <cell r="U11">
            <v>550000</v>
          </cell>
        </row>
        <row r="12">
          <cell r="A12" t="str">
            <v>Камчатский государственный фонд поддержки предпринимательства</v>
          </cell>
          <cell r="B12" t="str">
            <v>Камчатка</v>
          </cell>
          <cell r="C12" t="str">
            <v>МКК Фонд поддержки предпринимательства</v>
          </cell>
          <cell r="D12">
            <v>806259</v>
          </cell>
          <cell r="E12">
            <v>806479</v>
          </cell>
          <cell r="F12">
            <v>806479</v>
          </cell>
          <cell r="G12">
            <v>806479</v>
          </cell>
          <cell r="H12">
            <v>561882</v>
          </cell>
          <cell r="I12">
            <v>658007</v>
          </cell>
          <cell r="J12">
            <v>672874</v>
          </cell>
          <cell r="K12">
            <v>700000</v>
          </cell>
          <cell r="L12">
            <v>536954</v>
          </cell>
          <cell r="M12">
            <v>641123</v>
          </cell>
          <cell r="N12">
            <v>656588</v>
          </cell>
          <cell r="O12">
            <v>4517</v>
          </cell>
          <cell r="P12">
            <v>1652</v>
          </cell>
          <cell r="Q12">
            <v>1652</v>
          </cell>
          <cell r="R12">
            <v>240037</v>
          </cell>
          <cell r="S12">
            <v>547875</v>
          </cell>
          <cell r="T12">
            <v>242722</v>
          </cell>
          <cell r="U12">
            <v>450000</v>
          </cell>
        </row>
        <row r="13">
          <cell r="A13" t="str">
            <v>Государственный фонд поддержки предпринимательства Кемеровской области</v>
          </cell>
          <cell r="B13" t="str">
            <v>Кемерово</v>
          </cell>
          <cell r="C13" t="str">
            <v>МКК ГОСФОНД ППКО</v>
          </cell>
          <cell r="D13">
            <v>620087.03</v>
          </cell>
          <cell r="E13">
            <v>963970.89</v>
          </cell>
          <cell r="F13">
            <v>963976.67</v>
          </cell>
          <cell r="G13">
            <v>984976.67</v>
          </cell>
          <cell r="H13">
            <v>555030</v>
          </cell>
          <cell r="I13">
            <v>652891.26</v>
          </cell>
          <cell r="J13">
            <v>648969.51</v>
          </cell>
          <cell r="K13">
            <v>738740</v>
          </cell>
          <cell r="L13">
            <v>537105</v>
          </cell>
          <cell r="M13">
            <v>637894.39</v>
          </cell>
          <cell r="N13">
            <v>630715.02</v>
          </cell>
          <cell r="O13">
            <v>27800</v>
          </cell>
          <cell r="P13">
            <v>1</v>
          </cell>
          <cell r="Q13">
            <v>1</v>
          </cell>
          <cell r="R13">
            <v>216627</v>
          </cell>
          <cell r="S13">
            <v>495339.98</v>
          </cell>
          <cell r="T13">
            <v>216183.97</v>
          </cell>
          <cell r="U13">
            <v>500000</v>
          </cell>
        </row>
        <row r="14">
          <cell r="A14" t="str">
            <v>Кировский областной фонд поддержки МСП</v>
          </cell>
          <cell r="B14" t="str">
            <v>Киров</v>
          </cell>
          <cell r="C14" t="str">
            <v>КОФПМСП МКК</v>
          </cell>
          <cell r="D14">
            <v>1316955</v>
          </cell>
          <cell r="E14">
            <v>1344764</v>
          </cell>
          <cell r="F14">
            <v>1324458</v>
          </cell>
          <cell r="H14">
            <v>776115</v>
          </cell>
          <cell r="I14">
            <v>956982</v>
          </cell>
          <cell r="J14">
            <v>935898</v>
          </cell>
          <cell r="K14">
            <v>960000</v>
          </cell>
          <cell r="L14">
            <v>764724</v>
          </cell>
          <cell r="M14">
            <v>949721</v>
          </cell>
          <cell r="N14">
            <v>928759</v>
          </cell>
          <cell r="O14">
            <v>27718</v>
          </cell>
          <cell r="P14">
            <v>26008</v>
          </cell>
          <cell r="Q14">
            <v>25702</v>
          </cell>
          <cell r="R14">
            <v>323385</v>
          </cell>
          <cell r="S14">
            <v>833856</v>
          </cell>
          <cell r="T14">
            <v>358178</v>
          </cell>
          <cell r="U14">
            <v>850000</v>
          </cell>
        </row>
        <row r="15">
          <cell r="A15" t="str">
            <v>Фонд микрофинансирования Краснодарского края</v>
          </cell>
          <cell r="B15" t="str">
            <v>Краснодарский край</v>
          </cell>
          <cell r="C15" t="str">
            <v>МКК ФОНД МИКРОФИНАНСИРОВАНИЯ КРАСНОДАРСКОГО КРАЯ</v>
          </cell>
          <cell r="D15">
            <v>2823920</v>
          </cell>
          <cell r="E15">
            <v>3368157</v>
          </cell>
          <cell r="F15">
            <v>3391480</v>
          </cell>
          <cell r="G15">
            <v>3391480</v>
          </cell>
          <cell r="H15">
            <v>1835306</v>
          </cell>
          <cell r="I15">
            <v>2261224</v>
          </cell>
          <cell r="J15">
            <v>2411614</v>
          </cell>
          <cell r="K15">
            <v>2611614</v>
          </cell>
          <cell r="L15">
            <v>1827131</v>
          </cell>
          <cell r="M15">
            <v>2252957</v>
          </cell>
          <cell r="N15">
            <v>2399938</v>
          </cell>
          <cell r="O15">
            <v>0</v>
          </cell>
          <cell r="P15">
            <v>0</v>
          </cell>
          <cell r="Q15">
            <v>0</v>
          </cell>
          <cell r="R15">
            <v>782124</v>
          </cell>
          <cell r="S15">
            <v>1944778</v>
          </cell>
          <cell r="T15">
            <v>790815</v>
          </cell>
          <cell r="U15">
            <v>2100000</v>
          </cell>
        </row>
        <row r="16">
          <cell r="A16" t="str">
            <v>Фонд микрофинансирования предпринимательства Республики Крым</v>
          </cell>
          <cell r="B16" t="str">
            <v>Крым</v>
          </cell>
          <cell r="C16" t="str">
            <v>МКК "ФондМПРК"</v>
          </cell>
          <cell r="D16">
            <v>1511626.4</v>
          </cell>
          <cell r="E16">
            <v>2016676.9</v>
          </cell>
          <cell r="F16">
            <v>2016676.9</v>
          </cell>
          <cell r="G16">
            <v>2022576.9</v>
          </cell>
          <cell r="H16">
            <v>1131817.6000000001</v>
          </cell>
          <cell r="I16">
            <v>1688604.6</v>
          </cell>
          <cell r="J16">
            <v>1810329.2</v>
          </cell>
          <cell r="K16">
            <v>1750000</v>
          </cell>
          <cell r="L16">
            <v>1109728.5</v>
          </cell>
          <cell r="M16">
            <v>1667698.7</v>
          </cell>
          <cell r="N16">
            <v>1788072.1</v>
          </cell>
          <cell r="O16">
            <v>0</v>
          </cell>
          <cell r="P16">
            <v>0</v>
          </cell>
          <cell r="Q16">
            <v>0</v>
          </cell>
          <cell r="R16">
            <v>489790.4</v>
          </cell>
          <cell r="S16">
            <v>1352054.2</v>
          </cell>
          <cell r="T16">
            <v>730228.4</v>
          </cell>
          <cell r="U16">
            <v>1000000</v>
          </cell>
        </row>
        <row r="17">
          <cell r="A17" t="str">
            <v>Фонд микрофинансирования Курганской области</v>
          </cell>
          <cell r="B17" t="str">
            <v>Курган</v>
          </cell>
          <cell r="C17" t="str">
            <v>МКК "Фонд микрофинансирования Курганской области"</v>
          </cell>
          <cell r="D17">
            <v>401799</v>
          </cell>
          <cell r="E17">
            <v>643215</v>
          </cell>
          <cell r="F17">
            <v>647997</v>
          </cell>
          <cell r="G17">
            <v>650000</v>
          </cell>
          <cell r="H17">
            <v>156753</v>
          </cell>
          <cell r="I17">
            <v>206895</v>
          </cell>
          <cell r="J17">
            <v>212709</v>
          </cell>
          <cell r="K17">
            <v>240000</v>
          </cell>
          <cell r="L17">
            <v>43821</v>
          </cell>
          <cell r="M17">
            <v>68631</v>
          </cell>
          <cell r="N17">
            <v>188535</v>
          </cell>
          <cell r="O17">
            <v>0</v>
          </cell>
          <cell r="P17">
            <v>0</v>
          </cell>
          <cell r="Q17">
            <v>0</v>
          </cell>
          <cell r="R17">
            <v>101480</v>
          </cell>
          <cell r="S17">
            <v>175897</v>
          </cell>
          <cell r="T17">
            <v>56041</v>
          </cell>
          <cell r="U17">
            <v>120000</v>
          </cell>
        </row>
        <row r="18">
          <cell r="A18" t="str">
            <v>Центр поддержки предпринимательства Курской области</v>
          </cell>
          <cell r="B18" t="str">
            <v>Курск</v>
          </cell>
          <cell r="C18" t="str">
            <v>Ассоциация микрокредитная компания "Центр поддержки предпринимательства Курской области"</v>
          </cell>
          <cell r="D18">
            <v>858558</v>
          </cell>
          <cell r="E18">
            <v>836425</v>
          </cell>
          <cell r="F18">
            <v>843575</v>
          </cell>
          <cell r="G18">
            <v>850000</v>
          </cell>
          <cell r="H18">
            <v>195186</v>
          </cell>
          <cell r="I18">
            <v>386119</v>
          </cell>
          <cell r="J18">
            <v>436259</v>
          </cell>
          <cell r="K18">
            <v>492000</v>
          </cell>
          <cell r="L18">
            <v>189625</v>
          </cell>
          <cell r="M18">
            <v>382778</v>
          </cell>
          <cell r="N18">
            <v>430104</v>
          </cell>
          <cell r="O18">
            <v>0</v>
          </cell>
          <cell r="P18">
            <v>0</v>
          </cell>
          <cell r="Q18">
            <v>0</v>
          </cell>
          <cell r="R18">
            <v>76937</v>
          </cell>
          <cell r="T18">
            <v>160282</v>
          </cell>
          <cell r="U18">
            <v>210000</v>
          </cell>
        </row>
        <row r="19">
          <cell r="A19" t="str">
            <v>Липецкий областной фонд поддержки малого и среднего предпринимательства</v>
          </cell>
          <cell r="B19" t="str">
            <v>Липецк</v>
          </cell>
          <cell r="C19" t="str">
            <v>МКК "Липецкий областной фонд поддержки  МСП"</v>
          </cell>
          <cell r="D19">
            <v>797366.8</v>
          </cell>
          <cell r="E19">
            <v>797366.8</v>
          </cell>
          <cell r="F19">
            <v>758940.6</v>
          </cell>
          <cell r="G19">
            <v>805940.6</v>
          </cell>
          <cell r="H19">
            <v>479038.1</v>
          </cell>
          <cell r="I19">
            <v>687958.7</v>
          </cell>
          <cell r="J19">
            <v>687733.4</v>
          </cell>
          <cell r="K19">
            <v>685000</v>
          </cell>
          <cell r="L19">
            <v>472095.1</v>
          </cell>
          <cell r="M19">
            <v>645374.80000000005</v>
          </cell>
          <cell r="N19">
            <v>643021.4</v>
          </cell>
          <cell r="O19">
            <v>16476</v>
          </cell>
          <cell r="P19">
            <v>26373</v>
          </cell>
          <cell r="Q19">
            <v>15532.6</v>
          </cell>
          <cell r="R19">
            <v>201509</v>
          </cell>
          <cell r="S19">
            <v>683525</v>
          </cell>
          <cell r="T19">
            <v>230785</v>
          </cell>
          <cell r="U19">
            <v>600000</v>
          </cell>
        </row>
        <row r="20">
          <cell r="A20" t="str">
            <v>Фонд поддержки предпринимательства и Центр микрофинансирования Республики Мордовия</v>
          </cell>
          <cell r="D20">
            <v>1016718</v>
          </cell>
          <cell r="E20">
            <v>1017282.252</v>
          </cell>
          <cell r="F20">
            <v>1037369.242</v>
          </cell>
          <cell r="G20">
            <v>1037369.242</v>
          </cell>
          <cell r="H20">
            <v>584852</v>
          </cell>
          <cell r="I20">
            <v>837027</v>
          </cell>
          <cell r="J20">
            <v>795959.696</v>
          </cell>
          <cell r="K20">
            <v>786000</v>
          </cell>
          <cell r="L20">
            <v>518469</v>
          </cell>
          <cell r="M20">
            <v>768514</v>
          </cell>
          <cell r="N20">
            <v>742917.94799999997</v>
          </cell>
          <cell r="O20">
            <v>0</v>
          </cell>
          <cell r="P20">
            <v>0</v>
          </cell>
          <cell r="Q20">
            <v>0</v>
          </cell>
          <cell r="R20">
            <v>164353</v>
          </cell>
          <cell r="S20">
            <v>588166.28</v>
          </cell>
          <cell r="T20">
            <v>172092</v>
          </cell>
          <cell r="U20">
            <v>390000</v>
          </cell>
        </row>
        <row r="21">
          <cell r="A21" t="str">
            <v>Новгородский фонд поддержки малого предпринимательства</v>
          </cell>
          <cell r="B21" t="str">
            <v>Новгород</v>
          </cell>
          <cell r="C21" t="str">
            <v>Фонд МКК НФПМП</v>
          </cell>
          <cell r="D21">
            <v>1328185</v>
          </cell>
          <cell r="E21">
            <v>1328687</v>
          </cell>
          <cell r="F21">
            <v>1435405</v>
          </cell>
          <cell r="G21">
            <v>1440000</v>
          </cell>
          <cell r="H21">
            <v>735814</v>
          </cell>
          <cell r="I21">
            <v>905915</v>
          </cell>
          <cell r="J21">
            <v>882462</v>
          </cell>
          <cell r="K21">
            <v>995000</v>
          </cell>
          <cell r="L21">
            <v>725632</v>
          </cell>
          <cell r="M21">
            <v>896338</v>
          </cell>
          <cell r="N21">
            <v>865913</v>
          </cell>
          <cell r="O21">
            <v>864</v>
          </cell>
          <cell r="P21">
            <v>48348</v>
          </cell>
          <cell r="Q21">
            <v>33752</v>
          </cell>
          <cell r="R21">
            <v>430347</v>
          </cell>
          <cell r="S21">
            <v>908837</v>
          </cell>
          <cell r="T21">
            <v>361626</v>
          </cell>
          <cell r="U21">
            <v>800000</v>
          </cell>
        </row>
        <row r="22">
          <cell r="A22" t="str">
            <v>Фонд микрофинансирования НСО (Новосибирск)</v>
          </cell>
          <cell r="B22" t="str">
            <v>Новосибирск</v>
          </cell>
          <cell r="C22" t="str">
            <v>МКК Фонд микрофинансирования НСО</v>
          </cell>
          <cell r="F22">
            <v>1462138</v>
          </cell>
          <cell r="G22">
            <v>1500000</v>
          </cell>
          <cell r="H22">
            <v>917054</v>
          </cell>
          <cell r="I22">
            <v>978355</v>
          </cell>
          <cell r="J22">
            <v>1066117</v>
          </cell>
          <cell r="K22">
            <v>1200000</v>
          </cell>
          <cell r="L22">
            <v>911560</v>
          </cell>
          <cell r="M22">
            <v>969647</v>
          </cell>
          <cell r="N22">
            <v>1056637</v>
          </cell>
          <cell r="Q22">
            <v>0</v>
          </cell>
          <cell r="R22">
            <v>506040</v>
          </cell>
          <cell r="S22">
            <v>885824</v>
          </cell>
          <cell r="T22">
            <v>444706</v>
          </cell>
          <cell r="U22">
            <v>900000</v>
          </cell>
        </row>
        <row r="23">
          <cell r="A23" t="str">
            <v>Фонд микрофинансирования Орловской области</v>
          </cell>
          <cell r="B23" t="str">
            <v>Орел</v>
          </cell>
          <cell r="C23" t="str">
            <v>НО МКК "ФМОО"</v>
          </cell>
          <cell r="D23">
            <v>597346</v>
          </cell>
          <cell r="E23">
            <v>600699</v>
          </cell>
          <cell r="F23">
            <v>601960</v>
          </cell>
          <cell r="G23">
            <v>603000</v>
          </cell>
          <cell r="H23">
            <v>513506</v>
          </cell>
          <cell r="I23">
            <v>578525</v>
          </cell>
          <cell r="J23">
            <v>600836</v>
          </cell>
          <cell r="K23">
            <v>605000</v>
          </cell>
          <cell r="L23">
            <v>511172</v>
          </cell>
          <cell r="M23">
            <v>576041</v>
          </cell>
          <cell r="N23">
            <v>600659</v>
          </cell>
          <cell r="O23">
            <v>0</v>
          </cell>
          <cell r="P23">
            <v>0</v>
          </cell>
          <cell r="Q23">
            <v>0</v>
          </cell>
          <cell r="R23">
            <v>226307</v>
          </cell>
          <cell r="S23">
            <v>624365</v>
          </cell>
          <cell r="T23">
            <v>230980</v>
          </cell>
          <cell r="U23">
            <v>640000</v>
          </cell>
        </row>
        <row r="24">
          <cell r="A24" t="str">
            <v>Гарантийная микрофинансовая организация «Поручитель» (Пензенская обл.)</v>
          </cell>
          <cell r="B24" t="str">
            <v>Пенза</v>
          </cell>
          <cell r="C24" t="str">
            <v>АО МКК  "Поручитель"</v>
          </cell>
          <cell r="D24">
            <v>546686</v>
          </cell>
          <cell r="E24">
            <v>660325</v>
          </cell>
          <cell r="F24">
            <v>662311</v>
          </cell>
          <cell r="G24">
            <v>662311</v>
          </cell>
          <cell r="H24">
            <v>410667</v>
          </cell>
          <cell r="I24">
            <v>613447</v>
          </cell>
          <cell r="J24">
            <v>598770</v>
          </cell>
          <cell r="K24">
            <v>627434</v>
          </cell>
          <cell r="L24">
            <v>409308</v>
          </cell>
          <cell r="M24">
            <v>612250</v>
          </cell>
          <cell r="N24">
            <v>597718</v>
          </cell>
          <cell r="O24">
            <v>0</v>
          </cell>
          <cell r="P24">
            <v>0</v>
          </cell>
          <cell r="Q24">
            <v>0</v>
          </cell>
          <cell r="R24">
            <v>233637</v>
          </cell>
          <cell r="S24">
            <v>577896</v>
          </cell>
          <cell r="T24">
            <v>167822</v>
          </cell>
          <cell r="U24">
            <v>386000</v>
          </cell>
        </row>
        <row r="25">
          <cell r="A25" t="str">
            <v>Ростовское региональное агентство поддержки предпринимательства</v>
          </cell>
          <cell r="B25" t="str">
            <v>Ростов</v>
          </cell>
          <cell r="C25" t="str">
            <v>АНО МФК "РРАПП"</v>
          </cell>
          <cell r="D25">
            <v>1765481.69</v>
          </cell>
          <cell r="E25">
            <v>1765481.69</v>
          </cell>
          <cell r="F25">
            <v>1981608.69</v>
          </cell>
          <cell r="G25">
            <v>1981608.69</v>
          </cell>
          <cell r="H25">
            <v>1409965.92</v>
          </cell>
          <cell r="I25">
            <v>1621591.25</v>
          </cell>
          <cell r="J25">
            <v>1618557.07</v>
          </cell>
          <cell r="K25">
            <v>1900000</v>
          </cell>
          <cell r="L25">
            <v>1353686.53</v>
          </cell>
          <cell r="M25">
            <v>1590028</v>
          </cell>
          <cell r="N25">
            <v>1571204.07</v>
          </cell>
          <cell r="O25">
            <v>0</v>
          </cell>
          <cell r="P25">
            <v>0</v>
          </cell>
          <cell r="Q25">
            <v>0</v>
          </cell>
          <cell r="R25">
            <v>437796.42</v>
          </cell>
          <cell r="S25">
            <v>1097296.17</v>
          </cell>
          <cell r="T25">
            <v>484136.72</v>
          </cell>
          <cell r="U25">
            <v>1300000</v>
          </cell>
        </row>
        <row r="26">
          <cell r="A26" t="str">
            <v>Фонд микрокредитования субъектов малого предпринимательства в Саратовской области</v>
          </cell>
          <cell r="B26" t="str">
            <v>Саратов</v>
          </cell>
          <cell r="C26" t="str">
            <v>МКК "ФОНД МСО"</v>
          </cell>
          <cell r="D26">
            <v>252036</v>
          </cell>
          <cell r="E26">
            <v>475885</v>
          </cell>
          <cell r="F26">
            <v>478297</v>
          </cell>
          <cell r="G26">
            <v>478500</v>
          </cell>
          <cell r="H26">
            <v>269251</v>
          </cell>
          <cell r="I26">
            <v>346132</v>
          </cell>
          <cell r="J26">
            <v>462053</v>
          </cell>
          <cell r="K26">
            <v>480000</v>
          </cell>
          <cell r="L26">
            <v>239132</v>
          </cell>
          <cell r="M26">
            <v>314881</v>
          </cell>
          <cell r="N26">
            <v>433563</v>
          </cell>
          <cell r="O26">
            <v>0</v>
          </cell>
          <cell r="P26">
            <v>0</v>
          </cell>
          <cell r="Q26">
            <v>0</v>
          </cell>
          <cell r="R26">
            <v>95495</v>
          </cell>
          <cell r="S26">
            <v>286760.7</v>
          </cell>
          <cell r="T26">
            <v>214493</v>
          </cell>
          <cell r="U26">
            <v>320000</v>
          </cell>
        </row>
        <row r="27">
          <cell r="A27" t="str">
            <v>МКК Фонд развития предпринимательства Республики Саха (Якутия)</v>
          </cell>
          <cell r="B27" t="str">
            <v>Саха (Якутия)</v>
          </cell>
          <cell r="C27" t="str">
            <v>МКК Фонд развития предпринимательства Республики Саха (Якутия)</v>
          </cell>
          <cell r="D27">
            <v>1627519</v>
          </cell>
          <cell r="E27">
            <v>1094319</v>
          </cell>
          <cell r="F27">
            <v>1071459</v>
          </cell>
          <cell r="G27">
            <v>1075000</v>
          </cell>
          <cell r="H27">
            <v>1071328</v>
          </cell>
          <cell r="I27">
            <v>1247178</v>
          </cell>
          <cell r="J27">
            <v>1163862</v>
          </cell>
          <cell r="K27">
            <v>1178800</v>
          </cell>
          <cell r="L27">
            <v>552967</v>
          </cell>
          <cell r="M27">
            <v>392398</v>
          </cell>
          <cell r="N27">
            <v>283996</v>
          </cell>
          <cell r="O27">
            <v>188906</v>
          </cell>
          <cell r="P27">
            <v>164866</v>
          </cell>
          <cell r="Q27">
            <v>147466</v>
          </cell>
          <cell r="R27">
            <v>145732</v>
          </cell>
          <cell r="S27">
            <v>609824</v>
          </cell>
          <cell r="T27">
            <v>124093</v>
          </cell>
          <cell r="U27">
            <v>240000</v>
          </cell>
        </row>
        <row r="28">
          <cell r="A28" t="str">
            <v>Свердловский областной фонд поддержки предпринимательства</v>
          </cell>
          <cell r="B28" t="str">
            <v>Свердловск</v>
          </cell>
          <cell r="C28" t="str">
            <v>Фонд СОФПП (МКК)</v>
          </cell>
          <cell r="D28">
            <v>1744170.17</v>
          </cell>
          <cell r="E28">
            <v>1744170.17</v>
          </cell>
          <cell r="F28">
            <v>1744170.17</v>
          </cell>
          <cell r="G28">
            <v>1744170.17</v>
          </cell>
          <cell r="H28">
            <v>1535460</v>
          </cell>
          <cell r="I28">
            <v>1727873</v>
          </cell>
          <cell r="J28">
            <v>1670780</v>
          </cell>
          <cell r="K28">
            <v>1720000</v>
          </cell>
          <cell r="L28">
            <v>1517694</v>
          </cell>
          <cell r="M28">
            <v>1697245</v>
          </cell>
          <cell r="N28">
            <v>1634665</v>
          </cell>
          <cell r="O28">
            <v>254957</v>
          </cell>
          <cell r="P28">
            <v>547229</v>
          </cell>
          <cell r="Q28">
            <v>566649.96</v>
          </cell>
          <cell r="R28">
            <v>623965</v>
          </cell>
          <cell r="S28">
            <v>1279991</v>
          </cell>
          <cell r="T28">
            <v>546135.76</v>
          </cell>
          <cell r="U28">
            <v>1130000</v>
          </cell>
        </row>
        <row r="29">
          <cell r="A29" t="str">
            <v>Ставропольский краевой фонд микрофинансирования</v>
          </cell>
          <cell r="B29" t="str">
            <v>Ставрополь</v>
          </cell>
          <cell r="C29" t="str">
            <v>МКК Ставропольский краевой фонд микрофинансирования</v>
          </cell>
          <cell r="D29">
            <v>1132875</v>
          </cell>
          <cell r="E29">
            <v>1135333</v>
          </cell>
          <cell r="F29">
            <v>1139972</v>
          </cell>
          <cell r="G29">
            <v>1174000</v>
          </cell>
          <cell r="H29">
            <v>860929</v>
          </cell>
          <cell r="I29">
            <v>1022997</v>
          </cell>
          <cell r="J29">
            <v>1113373</v>
          </cell>
          <cell r="K29">
            <v>1155997</v>
          </cell>
          <cell r="L29">
            <v>847817</v>
          </cell>
          <cell r="M29">
            <v>1007092</v>
          </cell>
          <cell r="N29">
            <v>1090952.97</v>
          </cell>
          <cell r="O29">
            <v>0</v>
          </cell>
          <cell r="P29">
            <v>0</v>
          </cell>
          <cell r="Q29">
            <v>0</v>
          </cell>
          <cell r="R29">
            <v>378195</v>
          </cell>
          <cell r="S29">
            <v>894789</v>
          </cell>
          <cell r="T29">
            <v>350759.57</v>
          </cell>
          <cell r="U29">
            <v>856000</v>
          </cell>
        </row>
        <row r="30">
          <cell r="A30" t="str">
            <v>Фонд поддержки предпринимательства города Таганрога</v>
          </cell>
          <cell r="B30" t="str">
            <v>Таганрог</v>
          </cell>
          <cell r="C30" t="str">
            <v>МКК ФПП</v>
          </cell>
          <cell r="D30">
            <v>73918.7</v>
          </cell>
          <cell r="E30">
            <v>73918.7</v>
          </cell>
          <cell r="F30">
            <v>74918.7</v>
          </cell>
          <cell r="G30">
            <v>74918.7</v>
          </cell>
          <cell r="H30">
            <v>73449.78</v>
          </cell>
          <cell r="I30">
            <v>70824</v>
          </cell>
          <cell r="J30">
            <v>70720</v>
          </cell>
          <cell r="K30">
            <v>70720</v>
          </cell>
          <cell r="L30">
            <v>72313.41</v>
          </cell>
          <cell r="M30">
            <v>69085</v>
          </cell>
          <cell r="N30">
            <v>69286</v>
          </cell>
          <cell r="O30">
            <v>0</v>
          </cell>
          <cell r="P30">
            <v>0</v>
          </cell>
          <cell r="Q30">
            <v>0</v>
          </cell>
          <cell r="R30">
            <v>42130</v>
          </cell>
          <cell r="S30">
            <v>81670</v>
          </cell>
          <cell r="T30">
            <v>40270</v>
          </cell>
          <cell r="U30">
            <v>82000</v>
          </cell>
        </row>
        <row r="31">
          <cell r="A31" t="str">
            <v>НО «Фонд поддержки предпринимательства Республики Татарстан»</v>
          </cell>
          <cell r="B31" t="str">
            <v>Татарстан</v>
          </cell>
          <cell r="C31" t="str">
            <v>НО  МКК "Фонд поддержки предпринимательства РТ"</v>
          </cell>
          <cell r="D31">
            <v>1968304.1869999999</v>
          </cell>
          <cell r="E31">
            <v>1992475.3419999999</v>
          </cell>
          <cell r="F31">
            <v>2005546.4839999999</v>
          </cell>
          <cell r="G31">
            <v>2366205.7259999998</v>
          </cell>
          <cell r="H31">
            <v>1349248</v>
          </cell>
          <cell r="I31">
            <v>1680141.6170000001</v>
          </cell>
          <cell r="J31">
            <v>1658179.8910000001</v>
          </cell>
          <cell r="K31">
            <v>1500000</v>
          </cell>
          <cell r="L31">
            <v>498183</v>
          </cell>
          <cell r="M31">
            <v>1590245.044</v>
          </cell>
          <cell r="N31">
            <v>1543601.358</v>
          </cell>
          <cell r="O31">
            <v>268821</v>
          </cell>
          <cell r="P31">
            <v>505219.43</v>
          </cell>
          <cell r="Q31">
            <v>493514.56099999999</v>
          </cell>
          <cell r="R31">
            <v>437045</v>
          </cell>
          <cell r="S31">
            <v>1144910.8400000001</v>
          </cell>
          <cell r="T31">
            <v>388703.18599999999</v>
          </cell>
          <cell r="U31">
            <v>1044000</v>
          </cell>
        </row>
        <row r="32">
          <cell r="A32" t="str">
            <v>Удмуртский фонд развития предпринимательства</v>
          </cell>
          <cell r="B32" t="str">
            <v>Удмуртия</v>
          </cell>
          <cell r="C32" t="str">
            <v>МКК УФРП</v>
          </cell>
          <cell r="D32" t="str">
            <v>зам. ген. директора</v>
          </cell>
          <cell r="E32" t="str">
            <v>(3412)51-43-38 доб. 106</v>
          </cell>
          <cell r="F32" t="str">
            <v>gnv@udbiz.ru</v>
          </cell>
          <cell r="H32">
            <v>1335115.496</v>
          </cell>
          <cell r="I32">
            <v>1667301.32552</v>
          </cell>
          <cell r="J32">
            <v>1547791.2426</v>
          </cell>
          <cell r="K32">
            <v>1700000</v>
          </cell>
          <cell r="L32">
            <v>1315773.743</v>
          </cell>
          <cell r="M32">
            <v>1649826.4545199999</v>
          </cell>
          <cell r="N32">
            <v>1531989.18301</v>
          </cell>
          <cell r="O32">
            <v>100093.34</v>
          </cell>
          <cell r="P32">
            <v>358227.54694999999</v>
          </cell>
          <cell r="Q32">
            <v>405844.60741</v>
          </cell>
          <cell r="R32">
            <v>380530.66</v>
          </cell>
          <cell r="S32">
            <v>1234199.51492</v>
          </cell>
          <cell r="T32">
            <v>501480</v>
          </cell>
          <cell r="U32">
            <v>1260000</v>
          </cell>
        </row>
        <row r="33">
          <cell r="A33" t="str">
            <v>Фонд микрокредитования МСП МО «город Усть-Кут»</v>
          </cell>
          <cell r="B33" t="str">
            <v>Усть-Кут</v>
          </cell>
          <cell r="C33" t="str">
            <v>МКК Фонд микрокредитования МСП МО "город Усть-Кут"</v>
          </cell>
          <cell r="D33">
            <v>37779</v>
          </cell>
          <cell r="E33">
            <v>37797</v>
          </cell>
          <cell r="F33">
            <v>37797</v>
          </cell>
          <cell r="G33">
            <v>37797</v>
          </cell>
          <cell r="H33">
            <v>30148</v>
          </cell>
          <cell r="I33">
            <v>36708</v>
          </cell>
          <cell r="J33">
            <v>34924</v>
          </cell>
          <cell r="K33">
            <v>37790</v>
          </cell>
          <cell r="L33">
            <v>28273</v>
          </cell>
          <cell r="M33">
            <v>34692</v>
          </cell>
          <cell r="N33">
            <v>33864</v>
          </cell>
          <cell r="O33">
            <v>0</v>
          </cell>
          <cell r="P33">
            <v>0</v>
          </cell>
          <cell r="Q33">
            <v>0</v>
          </cell>
          <cell r="R33">
            <v>21579</v>
          </cell>
          <cell r="S33">
            <v>52114</v>
          </cell>
          <cell r="T33">
            <v>23593</v>
          </cell>
          <cell r="U33">
            <v>53000</v>
          </cell>
        </row>
        <row r="34">
          <cell r="A34" t="str">
            <v>ФПМП Хабаровского края</v>
          </cell>
          <cell r="B34" t="str">
            <v>Хабаровск</v>
          </cell>
          <cell r="C34" t="str">
            <v>МКК Фонд ПМП ХК</v>
          </cell>
          <cell r="D34">
            <v>756972</v>
          </cell>
          <cell r="E34">
            <v>753314</v>
          </cell>
          <cell r="F34">
            <v>754215</v>
          </cell>
          <cell r="G34">
            <v>758000</v>
          </cell>
          <cell r="H34">
            <v>460975</v>
          </cell>
          <cell r="I34">
            <v>684849</v>
          </cell>
          <cell r="J34">
            <v>647226</v>
          </cell>
          <cell r="K34">
            <v>685000</v>
          </cell>
          <cell r="L34">
            <v>452051</v>
          </cell>
          <cell r="M34">
            <v>674709</v>
          </cell>
          <cell r="N34">
            <v>634473</v>
          </cell>
          <cell r="O34">
            <v>1057</v>
          </cell>
          <cell r="P34">
            <v>405</v>
          </cell>
          <cell r="Q34">
            <v>0</v>
          </cell>
          <cell r="R34">
            <v>151558</v>
          </cell>
          <cell r="S34">
            <v>612492</v>
          </cell>
          <cell r="T34">
            <v>222494</v>
          </cell>
          <cell r="U34">
            <v>475000</v>
          </cell>
        </row>
        <row r="35">
          <cell r="A35" t="str">
            <v>«АПМБ» (Республика Чувашия)</v>
          </cell>
          <cell r="B35" t="str">
            <v>Чувашия АПМБ</v>
          </cell>
          <cell r="C35" t="str">
            <v>АНО МКК "АПМБ"</v>
          </cell>
          <cell r="D35">
            <v>1179182</v>
          </cell>
          <cell r="E35">
            <v>1658306</v>
          </cell>
          <cell r="F35">
            <v>1912675</v>
          </cell>
          <cell r="G35">
            <v>1915000</v>
          </cell>
          <cell r="H35">
            <v>715050</v>
          </cell>
          <cell r="I35">
            <v>1088829</v>
          </cell>
          <cell r="J35">
            <v>1348258</v>
          </cell>
          <cell r="K35">
            <v>1457600</v>
          </cell>
          <cell r="L35">
            <v>703002</v>
          </cell>
          <cell r="M35">
            <v>1072488</v>
          </cell>
          <cell r="N35">
            <v>1327669</v>
          </cell>
          <cell r="O35">
            <v>3034</v>
          </cell>
          <cell r="P35">
            <v>290</v>
          </cell>
          <cell r="Q35">
            <v>15</v>
          </cell>
          <cell r="R35">
            <v>290568</v>
          </cell>
          <cell r="S35">
            <v>1006643</v>
          </cell>
          <cell r="T35">
            <v>650145</v>
          </cell>
          <cell r="U35">
            <v>1300000</v>
          </cell>
        </row>
        <row r="36">
          <cell r="A36" t="str">
            <v>Югорская региональная микрокредитная компания</v>
          </cell>
          <cell r="B36" t="str">
            <v>ЮМКК</v>
          </cell>
          <cell r="D36">
            <v>1095777</v>
          </cell>
          <cell r="E36">
            <v>1310904</v>
          </cell>
          <cell r="F36">
            <v>1315669</v>
          </cell>
          <cell r="G36">
            <v>1322269</v>
          </cell>
          <cell r="H36">
            <v>999302</v>
          </cell>
          <cell r="I36">
            <v>1165533</v>
          </cell>
          <cell r="J36">
            <v>1116381</v>
          </cell>
          <cell r="K36">
            <v>1170000</v>
          </cell>
          <cell r="L36">
            <v>985656</v>
          </cell>
          <cell r="M36">
            <v>1152233</v>
          </cell>
          <cell r="N36">
            <v>1092897</v>
          </cell>
          <cell r="O36">
            <v>0</v>
          </cell>
          <cell r="P36">
            <v>0</v>
          </cell>
          <cell r="Q36">
            <v>0</v>
          </cell>
          <cell r="R36">
            <v>294021</v>
          </cell>
          <cell r="S36">
            <v>754925</v>
          </cell>
          <cell r="T36">
            <v>328303</v>
          </cell>
          <cell r="U36">
            <v>800000</v>
          </cell>
        </row>
        <row r="37">
          <cell r="A37" t="str">
            <v>Фонд развития города Якутска</v>
          </cell>
          <cell r="B37" t="str">
            <v>Якутск</v>
          </cell>
          <cell r="C37" t="str">
            <v>МКК Фонд развития города Якутска</v>
          </cell>
          <cell r="D37">
            <v>241059</v>
          </cell>
          <cell r="E37">
            <v>240381</v>
          </cell>
          <cell r="F37">
            <v>239779</v>
          </cell>
          <cell r="G37">
            <v>240405</v>
          </cell>
          <cell r="H37">
            <v>178572.66</v>
          </cell>
          <cell r="I37">
            <v>163075.03</v>
          </cell>
          <cell r="J37">
            <v>151535.31</v>
          </cell>
          <cell r="K37">
            <v>167485.87</v>
          </cell>
          <cell r="L37">
            <v>174759.06</v>
          </cell>
          <cell r="M37">
            <v>159895.72</v>
          </cell>
          <cell r="N37">
            <v>141840.16999999998</v>
          </cell>
          <cell r="O37">
            <v>10726.81</v>
          </cell>
          <cell r="P37">
            <v>8864.32</v>
          </cell>
          <cell r="Q37">
            <v>2899.8</v>
          </cell>
          <cell r="R37">
            <v>25485</v>
          </cell>
          <cell r="S37">
            <v>40571.279999999999</v>
          </cell>
          <cell r="T37">
            <v>34620.589999999997</v>
          </cell>
          <cell r="U37">
            <v>81400</v>
          </cell>
        </row>
        <row r="38">
          <cell r="A38" t="str">
            <v>Фонд поддержки МСП Ярославской области</v>
          </cell>
          <cell r="B38" t="str">
            <v>Ярославль</v>
          </cell>
          <cell r="C38" t="str">
            <v>Фонд ПП ЯО (МКК)</v>
          </cell>
          <cell r="D38">
            <v>938372</v>
          </cell>
          <cell r="E38">
            <v>944801</v>
          </cell>
          <cell r="F38">
            <v>1003000.205</v>
          </cell>
          <cell r="G38">
            <v>1006000</v>
          </cell>
          <cell r="H38">
            <v>316411</v>
          </cell>
          <cell r="I38">
            <v>478070</v>
          </cell>
          <cell r="J38">
            <v>527961.12</v>
          </cell>
          <cell r="K38">
            <v>600000</v>
          </cell>
          <cell r="L38">
            <v>315293</v>
          </cell>
          <cell r="M38">
            <v>465954</v>
          </cell>
          <cell r="N38">
            <v>526975.31000000006</v>
          </cell>
          <cell r="O38">
            <v>0</v>
          </cell>
          <cell r="P38">
            <v>0</v>
          </cell>
          <cell r="Q38">
            <v>0</v>
          </cell>
          <cell r="R38">
            <v>118440</v>
          </cell>
          <cell r="S38">
            <v>413547</v>
          </cell>
          <cell r="T38">
            <v>215945.86600000001</v>
          </cell>
          <cell r="U38">
            <v>380000</v>
          </cell>
        </row>
        <row r="39">
          <cell r="A39" t="str">
            <v>Даглизингфонд</v>
          </cell>
          <cell r="B39" t="str">
            <v>Даглизингфонд</v>
          </cell>
          <cell r="C39" t="str">
            <v>МФК "Даглизингфонд"</v>
          </cell>
          <cell r="D39">
            <v>303030.03000000003</v>
          </cell>
          <cell r="E39">
            <v>336020.87</v>
          </cell>
          <cell r="F39">
            <v>336020.87</v>
          </cell>
          <cell r="G39">
            <v>355020.87</v>
          </cell>
          <cell r="H39" t="str">
            <v>-</v>
          </cell>
          <cell r="I39">
            <v>293175.21000000002</v>
          </cell>
          <cell r="J39">
            <v>296917.73</v>
          </cell>
          <cell r="K39">
            <v>300000</v>
          </cell>
          <cell r="L39" t="str">
            <v>-</v>
          </cell>
          <cell r="M39">
            <v>293175.21000000002</v>
          </cell>
          <cell r="N39">
            <v>296758.90999999997</v>
          </cell>
          <cell r="O39" t="str">
            <v>-</v>
          </cell>
          <cell r="P39" t="str">
            <v>-</v>
          </cell>
          <cell r="Q39" t="str">
            <v>-</v>
          </cell>
          <cell r="R39" t="str">
            <v>-</v>
          </cell>
          <cell r="S39">
            <v>311122.87</v>
          </cell>
          <cell r="T39">
            <v>89487.05</v>
          </cell>
          <cell r="U39">
            <v>160000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lls"/>
      <sheetName val="Result"/>
      <sheetName val="Трансп"/>
    </sheetNames>
    <sheetDataSet>
      <sheetData sheetId="0"/>
      <sheetData sheetId="1"/>
      <sheetData sheetId="2">
        <row r="2">
          <cell r="B2" t="str">
            <v>Имя файла</v>
          </cell>
          <cell r="C2" t="str">
            <v>ИМЯ</v>
          </cell>
          <cell r="D2" t="str">
            <v>ЧП 2019</v>
          </cell>
          <cell r="E2" t="str">
            <v>ЧП 1пг20</v>
          </cell>
          <cell r="F2" t="str">
            <v>ЧП 2020</v>
          </cell>
          <cell r="G2" t="str">
            <v>ЧП 1пг21</v>
          </cell>
          <cell r="H2" t="str">
            <v>ЧП 2021 прогноз</v>
          </cell>
          <cell r="I2" t="str">
            <v>СтоимПривлКл 2019</v>
          </cell>
          <cell r="J2" t="str">
            <v>СтоимПривлКл 1пг20</v>
          </cell>
          <cell r="K2" t="str">
            <v>СтоимПривлКл 2020</v>
          </cell>
          <cell r="L2" t="str">
            <v>СтоимПривлКл 1пг21</v>
          </cell>
          <cell r="M2" t="str">
            <v>СтоимПривлКл 2021 прогноз</v>
          </cell>
          <cell r="N2" t="str">
            <v>ДоляДоходКомисПрод 2019</v>
          </cell>
          <cell r="O2" t="str">
            <v>ДоляДоходКомисПрод 1пг20</v>
          </cell>
          <cell r="P2" t="str">
            <v>ДоляДоходКомисПрод 2020</v>
          </cell>
          <cell r="Q2" t="str">
            <v>ДоляДоходКомисПрод 1пг21</v>
          </cell>
          <cell r="R2" t="str">
            <v>ДоляДоходКомисПрод 2021 прогноз</v>
          </cell>
          <cell r="S2" t="str">
            <v>PDL портф 01.07.20</v>
          </cell>
          <cell r="T2" t="str">
            <v>PDL портф 01.01.21</v>
          </cell>
          <cell r="U2" t="str">
            <v>PDL портф 01.07.21</v>
          </cell>
          <cell r="V2" t="str">
            <v>PDL портф 01.01.22</v>
          </cell>
          <cell r="W2" t="str">
            <v>PDL раб портф90 01.07.20</v>
          </cell>
          <cell r="X2" t="str">
            <v>PDL раб портф90 01.01.21</v>
          </cell>
          <cell r="Y2" t="str">
            <v>PDL раб портф90 01.07.21</v>
          </cell>
          <cell r="Z2" t="str">
            <v>PDL раб портф30 01.07.20</v>
          </cell>
          <cell r="AA2" t="str">
            <v>PDL раб портф30 01.01.21</v>
          </cell>
          <cell r="AB2" t="str">
            <v>PDL раб портф30 01.07.21</v>
          </cell>
          <cell r="AC2" t="str">
            <v>PDL выдачи 2пг19</v>
          </cell>
          <cell r="AD2" t="str">
            <v>PDL выдачи 1пг20</v>
          </cell>
          <cell r="AE2" t="str">
            <v>PDL выдачи 2пг20</v>
          </cell>
          <cell r="AF2" t="str">
            <v>PDL выдачи 1пг21</v>
          </cell>
          <cell r="AG2" t="str">
            <v>PDL выдачи 2022 прогноз</v>
          </cell>
          <cell r="AH2" t="str">
            <v>Доля выдач PDL онлайн 2пг19</v>
          </cell>
          <cell r="AI2" t="str">
            <v>Доля выдач PDL онлайн 1пг20</v>
          </cell>
          <cell r="AJ2" t="str">
            <v>Доля выдач PDL онлайн 2пг20</v>
          </cell>
          <cell r="AK2" t="str">
            <v>Доля выдач PDL онлайн 1пг21</v>
          </cell>
          <cell r="AL2" t="str">
            <v>Доля Одобр Заявок НовКл PDL 2пг19</v>
          </cell>
          <cell r="AM2" t="str">
            <v>Доля Одобр Заявок НовКл PDL 1пг20</v>
          </cell>
          <cell r="AN2" t="str">
            <v>Доля Одобр Заявок НовКл PDL 2пг20</v>
          </cell>
          <cell r="AO2" t="str">
            <v>Доля Одобр Заявок НовКл PDL  1пг21</v>
          </cell>
          <cell r="AP2" t="str">
            <v>IL портф 01.07.20</v>
          </cell>
          <cell r="AQ2" t="str">
            <v>IL портф 01.01.21</v>
          </cell>
          <cell r="AR2" t="str">
            <v>IL портф 01.07.21</v>
          </cell>
          <cell r="AS2" t="str">
            <v>IL портф 01.01.22</v>
          </cell>
          <cell r="AT2" t="str">
            <v>IL раб портф90 01.07.20</v>
          </cell>
          <cell r="AU2" t="str">
            <v>IL раб портф90 01.01.21</v>
          </cell>
          <cell r="AV2" t="str">
            <v>IL раб портф90 01.07.21</v>
          </cell>
          <cell r="AW2" t="str">
            <v>IL раб портф30 01.07.20</v>
          </cell>
          <cell r="AX2" t="str">
            <v>IL раб портф30 01.01.21</v>
          </cell>
          <cell r="AY2" t="str">
            <v>IL раб портф30 01.07.21</v>
          </cell>
          <cell r="AZ2" t="str">
            <v>IL выдачи 2пг19</v>
          </cell>
          <cell r="BA2" t="str">
            <v>IL выдачи 1пг20</v>
          </cell>
          <cell r="BB2" t="str">
            <v>IL выдачи 2пг20</v>
          </cell>
          <cell r="BC2" t="str">
            <v>IL выдачи 1пг21</v>
          </cell>
          <cell r="BD2" t="str">
            <v>IL выдачи 2022 прогноз</v>
          </cell>
          <cell r="BE2" t="str">
            <v>Доля выдач IL онлайн 2пг19</v>
          </cell>
          <cell r="BF2" t="str">
            <v>Доля выдач IL онлайн 1пг20</v>
          </cell>
          <cell r="BG2" t="str">
            <v>Доля выдач IL онлайн 2пг20</v>
          </cell>
          <cell r="BH2" t="str">
            <v>Доля выдач IL онлайн 1пг21</v>
          </cell>
          <cell r="BI2" t="str">
            <v>Доля Одобр Заявок НовКл IL 2пг19</v>
          </cell>
          <cell r="BJ2" t="str">
            <v>Доля Одобр Заявок НовКл IL 1пг20</v>
          </cell>
          <cell r="BK2" t="str">
            <v>Доля Одобр Заявок НовКл IL 2пг20</v>
          </cell>
          <cell r="BL2" t="str">
            <v>Доля Одобр Заявок НовКл IL 1пг21</v>
          </cell>
          <cell r="BM2" t="str">
            <v>POS портф 01.07.20</v>
          </cell>
          <cell r="BN2" t="str">
            <v>POS портф 01.01.21</v>
          </cell>
          <cell r="BO2" t="str">
            <v>POS портф 01.07.21</v>
          </cell>
          <cell r="BP2" t="str">
            <v>POS портф 01.01.22</v>
          </cell>
          <cell r="BQ2" t="str">
            <v>POS раб портф90 01.07.20</v>
          </cell>
          <cell r="BR2" t="str">
            <v>POS раб портф90 01.01.21</v>
          </cell>
          <cell r="BS2" t="str">
            <v>POS раб портф90 01.07.21</v>
          </cell>
          <cell r="BT2" t="str">
            <v>POS выдачи 2пг19</v>
          </cell>
          <cell r="BU2" t="str">
            <v>POS выдачи 1пг20</v>
          </cell>
          <cell r="BV2" t="str">
            <v>POS выдачи 2пг20</v>
          </cell>
          <cell r="BW2" t="str">
            <v>POS выдачи 1пг21</v>
          </cell>
          <cell r="BX2" t="str">
            <v>POS выдачи 2022 прогноз</v>
          </cell>
          <cell r="BY2" t="str">
            <v>SME портф 01.07.20</v>
          </cell>
          <cell r="BZ2" t="str">
            <v>SME портф 01.01.21</v>
          </cell>
          <cell r="CA2" t="str">
            <v>SME портф 01.07.21</v>
          </cell>
          <cell r="CB2" t="str">
            <v>SME портф 01.01.22</v>
          </cell>
          <cell r="CC2" t="str">
            <v>SME раб портф90 01.07.20</v>
          </cell>
          <cell r="CD2" t="str">
            <v>SME раб портф90 01.01.21</v>
          </cell>
          <cell r="CE2" t="str">
            <v>SME раб портф90 01.07.21</v>
          </cell>
          <cell r="CF2" t="str">
            <v>SME выдачи 2пг19</v>
          </cell>
          <cell r="CG2" t="str">
            <v>SME выдачи 1пг20</v>
          </cell>
          <cell r="CH2" t="str">
            <v>SME выдачи 2пг20</v>
          </cell>
          <cell r="CI2" t="str">
            <v>SME выдачи 1пг21</v>
          </cell>
          <cell r="CJ2" t="str">
            <v>SME выдачи 2022 прогноз</v>
          </cell>
          <cell r="CK2" t="str">
            <v>Доля выдач SME онлайн 2пг19</v>
          </cell>
          <cell r="CL2" t="str">
            <v>Доля выдач SME онлайн 1пг20</v>
          </cell>
          <cell r="CM2" t="str">
            <v>Доля выдач SME онлайн 2пг20</v>
          </cell>
          <cell r="CN2" t="str">
            <v>Доля выдач SME онлайн 1пг21</v>
          </cell>
          <cell r="CO2" t="str">
            <v>Открытый вопрос ответ</v>
          </cell>
          <cell r="CP2" t="str">
            <v>Открытый вопрос комментарий</v>
          </cell>
        </row>
        <row r="3">
          <cell r="A3" t="str">
            <v>ГК Eqvanta (Быстроденьги и Турбозайм)</v>
          </cell>
          <cell r="B3" t="str">
            <v>Eqvanta</v>
          </cell>
          <cell r="C3" t="str">
            <v xml:space="preserve">группа компаний Eqvanta </v>
          </cell>
          <cell r="D3">
            <v>394314</v>
          </cell>
          <cell r="E3">
            <v>320566</v>
          </cell>
          <cell r="F3">
            <v>702878</v>
          </cell>
          <cell r="G3">
            <v>206612</v>
          </cell>
          <cell r="H3">
            <v>0</v>
          </cell>
          <cell r="I3">
            <v>1.3760932058587323</v>
          </cell>
          <cell r="J3">
            <v>1.5532194130853729</v>
          </cell>
          <cell r="K3">
            <v>2.3244512568926372</v>
          </cell>
          <cell r="L3">
            <v>2.5705970825477751</v>
          </cell>
          <cell r="M3">
            <v>2.527984136937226</v>
          </cell>
          <cell r="N3">
            <v>0.25014763523764977</v>
          </cell>
          <cell r="O3">
            <v>0.33188419180235151</v>
          </cell>
          <cell r="P3">
            <v>0.36063955194447328</v>
          </cell>
          <cell r="Q3">
            <v>0.34221878842743797</v>
          </cell>
          <cell r="R3">
            <v>0.29456986322217582</v>
          </cell>
          <cell r="S3">
            <v>1702766</v>
          </cell>
          <cell r="T3">
            <v>1950754</v>
          </cell>
          <cell r="U3">
            <v>2425086</v>
          </cell>
          <cell r="W3">
            <v>865141</v>
          </cell>
          <cell r="X3">
            <v>864836</v>
          </cell>
          <cell r="Y3">
            <v>1025543</v>
          </cell>
          <cell r="Z3">
            <v>631479</v>
          </cell>
          <cell r="AA3">
            <v>680704</v>
          </cell>
          <cell r="AB3">
            <v>750612</v>
          </cell>
          <cell r="AC3">
            <v>3566105</v>
          </cell>
          <cell r="AD3">
            <v>2839106</v>
          </cell>
          <cell r="AE3">
            <v>2778527</v>
          </cell>
          <cell r="AF3">
            <v>3149793</v>
          </cell>
          <cell r="AH3">
            <v>67.046904115274231</v>
          </cell>
          <cell r="AI3">
            <v>76.554380146426368</v>
          </cell>
          <cell r="AJ3">
            <v>81.160233461830671</v>
          </cell>
          <cell r="AK3">
            <v>82.531106012363352</v>
          </cell>
          <cell r="AL3">
            <v>0.34228405118134492</v>
          </cell>
          <cell r="AM3">
            <v>0.27906252689451255</v>
          </cell>
          <cell r="AN3">
            <v>0.3097435867979364</v>
          </cell>
          <cell r="AO3">
            <v>0.27930286950000638</v>
          </cell>
          <cell r="AP3">
            <v>1086204</v>
          </cell>
          <cell r="AQ3">
            <v>1426857</v>
          </cell>
          <cell r="AR3">
            <v>1911018</v>
          </cell>
          <cell r="AT3">
            <v>606502</v>
          </cell>
          <cell r="AU3">
            <v>738438</v>
          </cell>
          <cell r="AV3">
            <v>1017966</v>
          </cell>
          <cell r="AW3">
            <v>390571</v>
          </cell>
          <cell r="AX3">
            <v>625589</v>
          </cell>
          <cell r="AY3">
            <v>832903</v>
          </cell>
          <cell r="AZ3">
            <v>2043482</v>
          </cell>
          <cell r="BA3">
            <v>1499113</v>
          </cell>
          <cell r="BB3">
            <v>1500067</v>
          </cell>
          <cell r="BC3">
            <v>2046646</v>
          </cell>
          <cell r="BE3">
            <v>47.129654188292335</v>
          </cell>
          <cell r="BF3">
            <v>51.098749727338763</v>
          </cell>
          <cell r="BG3">
            <v>52.688446582719308</v>
          </cell>
          <cell r="BH3">
            <v>63.553833931222101</v>
          </cell>
          <cell r="BI3">
            <v>0.1179693692185749</v>
          </cell>
          <cell r="BJ3">
            <v>5.5365983416297004E-2</v>
          </cell>
          <cell r="BK3">
            <v>5.5021556815497294E-2</v>
          </cell>
          <cell r="BL3">
            <v>5.4564089794411942E-2</v>
          </cell>
          <cell r="BY3">
            <v>19584</v>
          </cell>
          <cell r="BZ3">
            <v>54326</v>
          </cell>
          <cell r="CA3">
            <v>46059</v>
          </cell>
          <cell r="CC3">
            <v>14152</v>
          </cell>
          <cell r="CD3">
            <v>46950</v>
          </cell>
          <cell r="CE3">
            <v>32356</v>
          </cell>
          <cell r="CF3">
            <v>29700</v>
          </cell>
          <cell r="CG3">
            <v>40000</v>
          </cell>
          <cell r="CH3">
            <v>66800</v>
          </cell>
          <cell r="CI3">
            <v>31340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 t="str">
            <v>нет</v>
          </cell>
          <cell r="CP3" t="str">
            <v>Данный показатель не будет объективным, т.к. не учитывает восстановление резервов (т.е. качество работы компании по сборам в активной/просроченной фазах) + предполагаем, что подходы к резервированию у МФО могут быть разными. Использовать для расчета РВПЗ тоже не является идеальным вариантом, т.к. у разных компаний различная стратегия работы с клиентами / уровнями одобрения / NPL, использование единой шкалы РВПЗ не будет отражать реальную величину cost of risk.</v>
          </cell>
        </row>
        <row r="4">
          <cell r="A4" t="str">
            <v>SimpleFinance</v>
          </cell>
          <cell r="B4" t="str">
            <v>SimpleFinance</v>
          </cell>
          <cell r="C4" t="str">
            <v>SimpleFinance</v>
          </cell>
          <cell r="D4">
            <v>-11748.101265822785</v>
          </cell>
          <cell r="E4">
            <v>25513.924050632912</v>
          </cell>
          <cell r="F4">
            <v>-57646.413502109703</v>
          </cell>
          <cell r="G4">
            <v>-62989.451476793249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BY4">
            <v>2015110.35654455</v>
          </cell>
          <cell r="BZ4">
            <v>2647838.2228999999</v>
          </cell>
          <cell r="CA4">
            <v>2904858.6131199999</v>
          </cell>
          <cell r="CC4">
            <v>1718522.05782537</v>
          </cell>
          <cell r="CD4">
            <v>2546151.73918</v>
          </cell>
          <cell r="CE4">
            <v>2734012.5030399999</v>
          </cell>
          <cell r="CF4">
            <v>8524789.7316399999</v>
          </cell>
          <cell r="CG4">
            <v>5362961.5520000001</v>
          </cell>
          <cell r="CH4">
            <v>8239492.3959999997</v>
          </cell>
          <cell r="CI4">
            <v>6013559.5580000002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</row>
        <row r="5">
          <cell r="A5" t="str">
            <v>Агроинтегратор</v>
          </cell>
          <cell r="B5" t="str">
            <v>Агроинтегратор - sme</v>
          </cell>
          <cell r="C5" t="str">
            <v>ООО МКК "Агроинтегратор"</v>
          </cell>
          <cell r="D5">
            <v>-6702</v>
          </cell>
          <cell r="E5">
            <v>1166</v>
          </cell>
          <cell r="F5">
            <v>3802</v>
          </cell>
          <cell r="G5">
            <v>7421</v>
          </cell>
          <cell r="H5">
            <v>20000</v>
          </cell>
          <cell r="I5">
            <v>2</v>
          </cell>
          <cell r="J5">
            <v>3</v>
          </cell>
          <cell r="K5">
            <v>4</v>
          </cell>
          <cell r="L5">
            <v>4</v>
          </cell>
          <cell r="M5">
            <v>7</v>
          </cell>
          <cell r="N5">
            <v>1191</v>
          </cell>
          <cell r="O5">
            <v>1339</v>
          </cell>
          <cell r="P5">
            <v>3469</v>
          </cell>
          <cell r="Q5">
            <v>3234</v>
          </cell>
          <cell r="R5">
            <v>5400</v>
          </cell>
          <cell r="BY5">
            <v>164000</v>
          </cell>
          <cell r="BZ5">
            <v>139000</v>
          </cell>
          <cell r="CA5">
            <v>370000</v>
          </cell>
          <cell r="CB5">
            <v>280000</v>
          </cell>
          <cell r="CC5">
            <v>164000</v>
          </cell>
          <cell r="CD5">
            <v>139000</v>
          </cell>
          <cell r="CE5">
            <v>370000</v>
          </cell>
          <cell r="CF5">
            <v>75975</v>
          </cell>
          <cell r="CG5">
            <v>109400</v>
          </cell>
          <cell r="CH5">
            <v>155700</v>
          </cell>
          <cell r="CI5">
            <v>240150</v>
          </cell>
          <cell r="CJ5">
            <v>541000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 t="str">
            <v>затрудняюсь с ответом</v>
          </cell>
        </row>
        <row r="6">
          <cell r="A6" t="str">
            <v>Академическая</v>
          </cell>
          <cell r="B6" t="str">
            <v>Академическая</v>
          </cell>
          <cell r="C6" t="str">
            <v>web-zaim.ru (МКК Академическая)</v>
          </cell>
          <cell r="E6">
            <v>44941</v>
          </cell>
          <cell r="F6">
            <v>192345</v>
          </cell>
          <cell r="G6">
            <v>175557</v>
          </cell>
          <cell r="H6">
            <v>341308</v>
          </cell>
          <cell r="J6">
            <v>1.534</v>
          </cell>
          <cell r="K6">
            <v>2.2360000000000002</v>
          </cell>
          <cell r="L6">
            <v>2.1890000000000001</v>
          </cell>
          <cell r="M6">
            <v>2.3140000000000001</v>
          </cell>
          <cell r="S6">
            <v>783086</v>
          </cell>
          <cell r="T6">
            <v>1488655</v>
          </cell>
          <cell r="U6">
            <v>2368723</v>
          </cell>
          <cell r="V6">
            <v>3417361</v>
          </cell>
          <cell r="W6">
            <v>682171</v>
          </cell>
          <cell r="X6">
            <v>1720032.18</v>
          </cell>
          <cell r="Y6">
            <v>2245614</v>
          </cell>
          <cell r="Z6">
            <v>493841</v>
          </cell>
          <cell r="AA6">
            <v>1257867.6000000001</v>
          </cell>
          <cell r="AB6">
            <v>1757754</v>
          </cell>
          <cell r="AD6">
            <v>2376321.41</v>
          </cell>
          <cell r="AE6">
            <v>4183198</v>
          </cell>
          <cell r="AF6">
            <v>7272721</v>
          </cell>
          <cell r="AG6">
            <v>17477589</v>
          </cell>
          <cell r="AI6">
            <v>1</v>
          </cell>
          <cell r="AJ6">
            <v>1</v>
          </cell>
          <cell r="AK6">
            <v>1</v>
          </cell>
          <cell r="AM6">
            <v>0.16819999999999999</v>
          </cell>
          <cell r="AN6">
            <v>0.22401440787892599</v>
          </cell>
          <cell r="AO6">
            <v>0.25435941424637121</v>
          </cell>
          <cell r="CO6" t="str">
            <v>да</v>
          </cell>
        </row>
        <row r="7">
          <cell r="A7" t="str">
            <v>Арифметика</v>
          </cell>
          <cell r="B7" t="str">
            <v>Арифметика</v>
          </cell>
          <cell r="C7" t="str">
            <v>ООО МКК "Арифметика"</v>
          </cell>
          <cell r="D7">
            <v>672702</v>
          </cell>
          <cell r="E7">
            <v>268812</v>
          </cell>
          <cell r="F7">
            <v>695050</v>
          </cell>
          <cell r="G7">
            <v>359451</v>
          </cell>
          <cell r="H7">
            <v>751838</v>
          </cell>
          <cell r="I7">
            <v>0.4</v>
          </cell>
          <cell r="J7">
            <v>0.6</v>
          </cell>
          <cell r="K7">
            <v>0.7</v>
          </cell>
          <cell r="L7">
            <v>0.9</v>
          </cell>
          <cell r="M7">
            <v>0.9</v>
          </cell>
          <cell r="N7">
            <v>6.3000000000000003E-4</v>
          </cell>
          <cell r="O7">
            <v>3.8000000000000002E-4</v>
          </cell>
          <cell r="P7">
            <v>1.9550000000000001E-2</v>
          </cell>
          <cell r="Q7">
            <v>6.7330000000000001E-2</v>
          </cell>
          <cell r="R7">
            <v>8.9560000000000001E-2</v>
          </cell>
          <cell r="S7">
            <v>41945</v>
          </cell>
          <cell r="T7">
            <v>38015</v>
          </cell>
          <cell r="U7">
            <v>35959</v>
          </cell>
          <cell r="V7">
            <v>31855.560085000001</v>
          </cell>
          <cell r="W7">
            <v>5868</v>
          </cell>
          <cell r="X7">
            <v>607</v>
          </cell>
          <cell r="Y7">
            <v>381</v>
          </cell>
          <cell r="Z7">
            <v>2673</v>
          </cell>
          <cell r="AA7">
            <v>590</v>
          </cell>
          <cell r="AB7">
            <v>381</v>
          </cell>
          <cell r="AC7">
            <v>76081</v>
          </cell>
          <cell r="AD7">
            <v>37651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0.99</v>
          </cell>
          <cell r="AM7">
            <v>0.99</v>
          </cell>
          <cell r="AN7">
            <v>0</v>
          </cell>
          <cell r="AO7">
            <v>0</v>
          </cell>
          <cell r="AP7">
            <v>2345550</v>
          </cell>
          <cell r="AQ7">
            <v>2772519</v>
          </cell>
          <cell r="AR7">
            <v>2839272</v>
          </cell>
          <cell r="AS7">
            <v>3350797.1286777603</v>
          </cell>
          <cell r="AT7">
            <v>1273956</v>
          </cell>
          <cell r="AU7">
            <v>1447080</v>
          </cell>
          <cell r="AV7">
            <v>1330474</v>
          </cell>
          <cell r="AW7">
            <v>1065709</v>
          </cell>
          <cell r="AX7">
            <v>1362947</v>
          </cell>
          <cell r="AY7">
            <v>1238058</v>
          </cell>
          <cell r="AZ7">
            <v>3029381</v>
          </cell>
          <cell r="BA7">
            <v>2279188</v>
          </cell>
          <cell r="BB7">
            <v>2728224</v>
          </cell>
          <cell r="BC7">
            <v>1958708</v>
          </cell>
          <cell r="BD7">
            <v>5416533.9952185284</v>
          </cell>
          <cell r="BE7">
            <v>0</v>
          </cell>
          <cell r="BF7">
            <v>0</v>
          </cell>
          <cell r="BG7">
            <v>0.01</v>
          </cell>
          <cell r="BH7">
            <v>0.01</v>
          </cell>
          <cell r="BI7">
            <v>0.85</v>
          </cell>
          <cell r="BJ7">
            <v>0.86</v>
          </cell>
          <cell r="BK7">
            <v>0.59059825719979675</v>
          </cell>
          <cell r="BL7">
            <v>0.62</v>
          </cell>
          <cell r="CO7" t="str">
            <v>да</v>
          </cell>
        </row>
        <row r="8">
          <cell r="A8" t="str">
            <v>Ваш инвестор</v>
          </cell>
          <cell r="B8" t="str">
            <v>Ваш инвестор</v>
          </cell>
          <cell r="C8" t="str">
            <v>Сервис займов "Ваш Инвестор"</v>
          </cell>
          <cell r="D8">
            <v>124516</v>
          </cell>
          <cell r="E8">
            <v>94928</v>
          </cell>
          <cell r="F8">
            <v>128498</v>
          </cell>
          <cell r="G8">
            <v>109453</v>
          </cell>
          <cell r="N8">
            <v>6.1999999999999998E-3</v>
          </cell>
          <cell r="O8">
            <v>5.7000000000000002E-3</v>
          </cell>
          <cell r="P8">
            <v>6.1999999999999998E-3</v>
          </cell>
          <cell r="Q8">
            <v>1.9099999999999999E-2</v>
          </cell>
          <cell r="AP8">
            <v>701770</v>
          </cell>
          <cell r="AQ8">
            <v>757821</v>
          </cell>
          <cell r="AR8">
            <v>919043</v>
          </cell>
          <cell r="AT8">
            <v>644518</v>
          </cell>
          <cell r="AU8">
            <v>699839</v>
          </cell>
          <cell r="AV8">
            <v>856012</v>
          </cell>
          <cell r="AW8">
            <v>633012</v>
          </cell>
          <cell r="AX8">
            <v>693671</v>
          </cell>
          <cell r="AY8">
            <v>845404</v>
          </cell>
          <cell r="AZ8">
            <v>516542</v>
          </cell>
          <cell r="BA8">
            <v>500084</v>
          </cell>
          <cell r="BB8">
            <v>600512</v>
          </cell>
          <cell r="BC8">
            <v>109453</v>
          </cell>
          <cell r="BY8">
            <v>38728</v>
          </cell>
          <cell r="BZ8">
            <v>35116</v>
          </cell>
          <cell r="CA8">
            <v>61265</v>
          </cell>
          <cell r="CC8">
            <v>34278</v>
          </cell>
          <cell r="CD8">
            <v>28396</v>
          </cell>
          <cell r="CE8">
            <v>52940</v>
          </cell>
          <cell r="CF8">
            <v>13500</v>
          </cell>
          <cell r="CG8">
            <v>36866</v>
          </cell>
          <cell r="CH8">
            <v>21746</v>
          </cell>
          <cell r="CI8">
            <v>51435</v>
          </cell>
        </row>
        <row r="9">
          <cell r="A9" t="str">
            <v>Webbankir</v>
          </cell>
          <cell r="B9" t="str">
            <v>Веббанкир</v>
          </cell>
          <cell r="C9" t="str">
            <v>ООО МФК "ВЭББАНКИР"</v>
          </cell>
          <cell r="D9">
            <v>93348</v>
          </cell>
          <cell r="E9">
            <v>119354</v>
          </cell>
          <cell r="F9">
            <v>383099</v>
          </cell>
          <cell r="G9">
            <v>184572</v>
          </cell>
          <cell r="H9">
            <v>390000</v>
          </cell>
          <cell r="I9">
            <v>1462</v>
          </cell>
          <cell r="J9">
            <v>1956</v>
          </cell>
          <cell r="K9">
            <v>3585</v>
          </cell>
          <cell r="L9">
            <v>3332</v>
          </cell>
          <cell r="M9">
            <v>3406</v>
          </cell>
          <cell r="N9">
            <v>1.1199433992731499E-2</v>
          </cell>
          <cell r="O9">
            <v>5.5222638729518719E-4</v>
          </cell>
          <cell r="P9">
            <v>5.7755639714344943E-4</v>
          </cell>
          <cell r="Q9">
            <v>5.6158535967413912E-3</v>
          </cell>
          <cell r="R9">
            <v>5.6158535967413912E-3</v>
          </cell>
          <cell r="S9">
            <v>1536768</v>
          </cell>
          <cell r="T9">
            <v>1427748</v>
          </cell>
          <cell r="U9">
            <v>1654416</v>
          </cell>
          <cell r="V9">
            <v>1881084</v>
          </cell>
          <cell r="W9">
            <v>747000</v>
          </cell>
          <cell r="AC9">
            <v>3527362</v>
          </cell>
          <cell r="AD9">
            <v>3114215</v>
          </cell>
          <cell r="AE9">
            <v>3638383</v>
          </cell>
          <cell r="AF9">
            <v>4562708.5999999996</v>
          </cell>
          <cell r="AG9">
            <v>9125417.1999999993</v>
          </cell>
          <cell r="AH9">
            <v>1.007863383457666</v>
          </cell>
          <cell r="AI9">
            <v>1.0000311474962391</v>
          </cell>
          <cell r="AJ9">
            <v>1.0000266601949273</v>
          </cell>
          <cell r="AK9">
            <v>1</v>
          </cell>
          <cell r="BM9">
            <v>27737</v>
          </cell>
          <cell r="BN9">
            <v>97</v>
          </cell>
          <cell r="BO9">
            <v>97</v>
          </cell>
          <cell r="BP9">
            <v>0</v>
          </cell>
          <cell r="BR9">
            <v>0</v>
          </cell>
          <cell r="BS9">
            <v>0</v>
          </cell>
          <cell r="BT9">
            <v>42441</v>
          </cell>
          <cell r="BU9">
            <v>2337</v>
          </cell>
          <cell r="BV9">
            <v>0</v>
          </cell>
          <cell r="BW9">
            <v>0</v>
          </cell>
          <cell r="BX9">
            <v>0</v>
          </cell>
          <cell r="CO9" t="str">
            <v>затрудняюсь с ответом</v>
          </cell>
        </row>
        <row r="10">
          <cell r="A10" t="str">
            <v>ГК Twino (Макро и Веритас)</v>
          </cell>
          <cell r="C10" t="str">
            <v>ООО МФК "Веритас" ООО МКК "Макро"</v>
          </cell>
          <cell r="D10">
            <v>451011</v>
          </cell>
          <cell r="E10">
            <v>259096</v>
          </cell>
          <cell r="F10">
            <v>538888</v>
          </cell>
          <cell r="G10">
            <v>220120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18</v>
          </cell>
          <cell r="O10">
            <v>7.25</v>
          </cell>
          <cell r="P10">
            <v>4.24</v>
          </cell>
          <cell r="Q10">
            <v>3.03</v>
          </cell>
          <cell r="R10">
            <v>0</v>
          </cell>
          <cell r="S10">
            <v>2288856</v>
          </cell>
          <cell r="T10">
            <v>1423105</v>
          </cell>
          <cell r="U10">
            <v>2977568</v>
          </cell>
          <cell r="V10">
            <v>0</v>
          </cell>
          <cell r="W10">
            <v>1512558</v>
          </cell>
          <cell r="X10">
            <v>932695</v>
          </cell>
          <cell r="Y10">
            <v>2021294</v>
          </cell>
          <cell r="Z10">
            <v>1065224</v>
          </cell>
          <cell r="AA10">
            <v>744950</v>
          </cell>
          <cell r="AB10">
            <v>1631918</v>
          </cell>
          <cell r="AC10">
            <v>4676140</v>
          </cell>
          <cell r="AD10">
            <v>3770387</v>
          </cell>
          <cell r="AE10">
            <v>4026686</v>
          </cell>
          <cell r="AF10">
            <v>4971602</v>
          </cell>
          <cell r="AG10">
            <v>2815700</v>
          </cell>
          <cell r="AH10">
            <v>200</v>
          </cell>
          <cell r="AI10">
            <v>200</v>
          </cell>
          <cell r="AJ10">
            <v>200</v>
          </cell>
          <cell r="AK10">
            <v>200</v>
          </cell>
          <cell r="AL10">
            <v>25</v>
          </cell>
          <cell r="AM10">
            <v>30</v>
          </cell>
          <cell r="AN10">
            <v>35</v>
          </cell>
          <cell r="AO10">
            <v>29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</row>
        <row r="11">
          <cell r="A11" t="str">
            <v>Главный займ (Колибри деньги)</v>
          </cell>
          <cell r="B11" t="str">
            <v>Главный займ (Колибри деньги)</v>
          </cell>
          <cell r="C11" t="str">
            <v>ООО "МКК Главный займ" (бренд "Колибри деньги")</v>
          </cell>
          <cell r="D11">
            <v>12679</v>
          </cell>
          <cell r="E11">
            <v>3375</v>
          </cell>
          <cell r="F11">
            <v>4586</v>
          </cell>
          <cell r="G11">
            <v>2068</v>
          </cell>
          <cell r="H11">
            <v>7000</v>
          </cell>
          <cell r="I11">
            <v>2100</v>
          </cell>
          <cell r="J11">
            <v>2226</v>
          </cell>
          <cell r="K11">
            <v>1986</v>
          </cell>
          <cell r="L11">
            <v>1524</v>
          </cell>
          <cell r="M11">
            <v>1915</v>
          </cell>
          <cell r="S11">
            <v>63716</v>
          </cell>
          <cell r="T11">
            <v>68144</v>
          </cell>
          <cell r="U11">
            <v>74433</v>
          </cell>
          <cell r="V11">
            <v>80000</v>
          </cell>
          <cell r="W11">
            <v>18091</v>
          </cell>
          <cell r="X11">
            <v>20372</v>
          </cell>
          <cell r="Y11">
            <v>22650</v>
          </cell>
          <cell r="Z11">
            <v>13846</v>
          </cell>
          <cell r="AA11">
            <v>17690</v>
          </cell>
          <cell r="AB11">
            <v>17949</v>
          </cell>
          <cell r="AC11">
            <v>92201</v>
          </cell>
          <cell r="AD11">
            <v>79037</v>
          </cell>
          <cell r="AE11">
            <v>81310</v>
          </cell>
          <cell r="AF11">
            <v>84888</v>
          </cell>
          <cell r="AG11">
            <v>169776</v>
          </cell>
          <cell r="AH11">
            <v>93</v>
          </cell>
          <cell r="AI11">
            <v>100</v>
          </cell>
          <cell r="AJ11">
            <v>100</v>
          </cell>
          <cell r="AK11">
            <v>99.69</v>
          </cell>
          <cell r="AL11">
            <v>0.40720000000000001</v>
          </cell>
          <cell r="AM11">
            <v>0.23400000000000001</v>
          </cell>
          <cell r="AN11">
            <v>0.13189999999999999</v>
          </cell>
          <cell r="AO11">
            <v>8.5099999999999995E-2</v>
          </cell>
          <cell r="AP11">
            <v>2322</v>
          </cell>
          <cell r="AQ11">
            <v>1854</v>
          </cell>
          <cell r="AR11">
            <v>1660</v>
          </cell>
          <cell r="AS11">
            <v>1477</v>
          </cell>
          <cell r="AT11">
            <v>450</v>
          </cell>
          <cell r="AU11">
            <v>180</v>
          </cell>
          <cell r="AV11">
            <v>45</v>
          </cell>
          <cell r="AW11">
            <v>450</v>
          </cell>
          <cell r="AX11">
            <v>180</v>
          </cell>
          <cell r="AY11">
            <v>45</v>
          </cell>
          <cell r="AZ11">
            <v>12724</v>
          </cell>
          <cell r="BA11">
            <v>616</v>
          </cell>
          <cell r="BB11">
            <v>694</v>
          </cell>
          <cell r="BC11">
            <v>262</v>
          </cell>
          <cell r="BD11">
            <v>524</v>
          </cell>
          <cell r="BE11">
            <v>7</v>
          </cell>
          <cell r="BF11">
            <v>0</v>
          </cell>
          <cell r="BG11">
            <v>0</v>
          </cell>
          <cell r="BH11">
            <v>0.31</v>
          </cell>
          <cell r="CO11" t="str">
            <v>да</v>
          </cell>
          <cell r="CP11" t="str">
            <v>Оценка по предоставленной формуле целесообразна</v>
          </cell>
        </row>
        <row r="12">
          <cell r="A12" t="str">
            <v>Стабильные финансы (Гринмани)</v>
          </cell>
          <cell r="B12" t="str">
            <v>Гринмани</v>
          </cell>
          <cell r="C12" t="str">
            <v>ООО МКК "СФ"</v>
          </cell>
          <cell r="D12">
            <v>5494</v>
          </cell>
          <cell r="E12">
            <v>4322</v>
          </cell>
          <cell r="F12">
            <v>7657</v>
          </cell>
          <cell r="G12">
            <v>6628</v>
          </cell>
          <cell r="H12">
            <v>15000</v>
          </cell>
          <cell r="I12">
            <v>8.2000000000000003E-2</v>
          </cell>
          <cell r="J12">
            <v>1.25</v>
          </cell>
          <cell r="K12">
            <v>1.5</v>
          </cell>
          <cell r="L12">
            <v>1.7</v>
          </cell>
          <cell r="M12">
            <v>1.85</v>
          </cell>
          <cell r="N12">
            <v>0.22</v>
          </cell>
          <cell r="O12">
            <v>0.12</v>
          </cell>
          <cell r="P12">
            <v>0.1</v>
          </cell>
          <cell r="Q12">
            <v>0.19</v>
          </cell>
          <cell r="R12">
            <v>0.21</v>
          </cell>
          <cell r="S12">
            <v>178364</v>
          </cell>
          <cell r="T12">
            <v>290037</v>
          </cell>
          <cell r="U12">
            <v>436762</v>
          </cell>
          <cell r="V12">
            <v>600000</v>
          </cell>
          <cell r="W12">
            <v>125441</v>
          </cell>
          <cell r="X12">
            <v>148948</v>
          </cell>
          <cell r="Y12">
            <v>310664</v>
          </cell>
          <cell r="Z12">
            <v>78647</v>
          </cell>
          <cell r="AA12">
            <v>119194</v>
          </cell>
          <cell r="AB12">
            <v>216557</v>
          </cell>
          <cell r="AC12">
            <v>105506</v>
          </cell>
          <cell r="AD12">
            <v>429595</v>
          </cell>
          <cell r="AE12">
            <v>463143</v>
          </cell>
          <cell r="AF12">
            <v>919964</v>
          </cell>
          <cell r="AG12">
            <v>1935000</v>
          </cell>
          <cell r="AH12">
            <v>100</v>
          </cell>
          <cell r="AI12">
            <v>100</v>
          </cell>
          <cell r="AJ12">
            <v>100</v>
          </cell>
          <cell r="AK12">
            <v>100</v>
          </cell>
          <cell r="AP12">
            <v>37853</v>
          </cell>
          <cell r="AQ12">
            <v>82044</v>
          </cell>
          <cell r="AR12">
            <v>202689</v>
          </cell>
          <cell r="AS12">
            <v>450000</v>
          </cell>
          <cell r="AT12">
            <v>33956</v>
          </cell>
          <cell r="AU12">
            <v>51963</v>
          </cell>
          <cell r="AV12">
            <v>140536</v>
          </cell>
          <cell r="AW12">
            <v>25671</v>
          </cell>
          <cell r="AX12">
            <v>38387</v>
          </cell>
          <cell r="AY12">
            <v>112265</v>
          </cell>
          <cell r="AZ12">
            <v>5639</v>
          </cell>
          <cell r="BA12">
            <v>86477</v>
          </cell>
          <cell r="BB12">
            <v>214866</v>
          </cell>
          <cell r="BC12">
            <v>325776</v>
          </cell>
          <cell r="BD12">
            <v>1065000</v>
          </cell>
          <cell r="BE12">
            <v>100</v>
          </cell>
          <cell r="BF12">
            <v>100</v>
          </cell>
          <cell r="BG12">
            <v>100</v>
          </cell>
          <cell r="BH12">
            <v>100</v>
          </cell>
          <cell r="BM12">
            <v>0</v>
          </cell>
          <cell r="BN12">
            <v>0</v>
          </cell>
          <cell r="BO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Y12">
            <v>0</v>
          </cell>
          <cell r="BZ12">
            <v>0</v>
          </cell>
          <cell r="CA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5000</v>
          </cell>
          <cell r="CH12">
            <v>0</v>
          </cell>
          <cell r="CI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 t="str">
            <v>затрудняюсь с ответом</v>
          </cell>
          <cell r="CP12" t="str">
            <v>В целом мы не против ввода данного показателя, но пока нет четкого понимания , чем он может быть нам полезным. На наш взгляд, более полезным будет NPL.</v>
          </cell>
        </row>
        <row r="13">
          <cell r="A13" t="str">
            <v>Даглизингфонд</v>
          </cell>
          <cell r="B13" t="str">
            <v>Даглизингфонд</v>
          </cell>
          <cell r="C13" t="str">
            <v>МФК "Даглизингфонд"</v>
          </cell>
          <cell r="D13">
            <v>151</v>
          </cell>
          <cell r="E13">
            <v>-3726</v>
          </cell>
          <cell r="F13">
            <v>67</v>
          </cell>
          <cell r="G13">
            <v>824</v>
          </cell>
          <cell r="H13">
            <v>1000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  <cell r="S13" t="str">
            <v>-</v>
          </cell>
          <cell r="T13" t="str">
            <v>-</v>
          </cell>
          <cell r="U13" t="str">
            <v>-</v>
          </cell>
          <cell r="V13" t="str">
            <v>-</v>
          </cell>
          <cell r="W13" t="str">
            <v>-</v>
          </cell>
          <cell r="X13" t="str">
            <v>-</v>
          </cell>
          <cell r="Y13" t="str">
            <v>-</v>
          </cell>
          <cell r="Z13" t="str">
            <v>-</v>
          </cell>
          <cell r="AA13" t="str">
            <v>-</v>
          </cell>
          <cell r="AB13" t="str">
            <v>-</v>
          </cell>
          <cell r="AC13" t="str">
            <v>-</v>
          </cell>
          <cell r="AD13" t="str">
            <v>-</v>
          </cell>
          <cell r="AE13" t="str">
            <v>-</v>
          </cell>
          <cell r="AF13" t="str">
            <v>-</v>
          </cell>
          <cell r="AG13" t="str">
            <v>-</v>
          </cell>
          <cell r="AH13" t="str">
            <v>-</v>
          </cell>
          <cell r="AI13" t="str">
            <v>-</v>
          </cell>
          <cell r="AJ13" t="str">
            <v>-</v>
          </cell>
          <cell r="AK13" t="str">
            <v>-</v>
          </cell>
          <cell r="AL13" t="str">
            <v>-</v>
          </cell>
          <cell r="AM13" t="str">
            <v>-</v>
          </cell>
          <cell r="AN13" t="str">
            <v>-</v>
          </cell>
          <cell r="AO13" t="str">
            <v>-</v>
          </cell>
          <cell r="AP13" t="str">
            <v>-</v>
          </cell>
          <cell r="AQ13" t="str">
            <v>-</v>
          </cell>
          <cell r="AR13" t="str">
            <v>-</v>
          </cell>
          <cell r="AS13" t="str">
            <v>-</v>
          </cell>
          <cell r="AT13" t="str">
            <v>-</v>
          </cell>
          <cell r="AU13" t="str">
            <v>-</v>
          </cell>
          <cell r="AV13" t="str">
            <v>-</v>
          </cell>
          <cell r="AW13" t="str">
            <v>-</v>
          </cell>
          <cell r="AX13" t="str">
            <v>-</v>
          </cell>
          <cell r="AY13" t="str">
            <v>-</v>
          </cell>
          <cell r="AZ13" t="str">
            <v>-</v>
          </cell>
          <cell r="BA13" t="str">
            <v>-</v>
          </cell>
          <cell r="BB13" t="str">
            <v>-</v>
          </cell>
          <cell r="BC13" t="str">
            <v>-</v>
          </cell>
          <cell r="BD13" t="str">
            <v>-</v>
          </cell>
          <cell r="BE13" t="str">
            <v>-</v>
          </cell>
          <cell r="BF13" t="str">
            <v>-</v>
          </cell>
          <cell r="BG13" t="str">
            <v>-</v>
          </cell>
          <cell r="BH13" t="str">
            <v>-</v>
          </cell>
          <cell r="BI13" t="str">
            <v>-</v>
          </cell>
          <cell r="BJ13" t="str">
            <v>-</v>
          </cell>
          <cell r="BK13" t="str">
            <v>-</v>
          </cell>
          <cell r="BL13" t="str">
            <v>-</v>
          </cell>
          <cell r="BM13" t="str">
            <v>-</v>
          </cell>
          <cell r="BN13" t="str">
            <v>-</v>
          </cell>
          <cell r="BO13" t="str">
            <v>-</v>
          </cell>
          <cell r="BP13" t="str">
            <v>-</v>
          </cell>
          <cell r="BQ13" t="str">
            <v>-</v>
          </cell>
          <cell r="BR13" t="str">
            <v>-</v>
          </cell>
          <cell r="BS13" t="str">
            <v>-</v>
          </cell>
          <cell r="BT13" t="str">
            <v>-</v>
          </cell>
          <cell r="BU13" t="str">
            <v>-</v>
          </cell>
          <cell r="BV13" t="str">
            <v>-</v>
          </cell>
          <cell r="BW13" t="str">
            <v>-</v>
          </cell>
          <cell r="BX13" t="str">
            <v>-</v>
          </cell>
          <cell r="BY13">
            <v>0</v>
          </cell>
          <cell r="BZ13">
            <v>293175.21000000002</v>
          </cell>
          <cell r="CA13">
            <v>296917.73</v>
          </cell>
          <cell r="CB13">
            <v>300000</v>
          </cell>
          <cell r="CC13">
            <v>0</v>
          </cell>
          <cell r="CD13">
            <v>293175.21000000002</v>
          </cell>
          <cell r="CE13">
            <v>296758.90999999997</v>
          </cell>
          <cell r="CF13">
            <v>0</v>
          </cell>
          <cell r="CG13">
            <v>0</v>
          </cell>
          <cell r="CH13">
            <v>311122.87</v>
          </cell>
          <cell r="CI13">
            <v>102798.16</v>
          </cell>
          <cell r="CJ13">
            <v>160000</v>
          </cell>
          <cell r="CK13" t="str">
            <v>-</v>
          </cell>
          <cell r="CL13" t="str">
            <v>-</v>
          </cell>
          <cell r="CM13" t="str">
            <v>-</v>
          </cell>
          <cell r="CN13" t="str">
            <v>-</v>
          </cell>
          <cell r="CO13" t="str">
            <v>затрудняюсь с ответом</v>
          </cell>
        </row>
        <row r="14">
          <cell r="A14" t="str">
            <v>Денежная единица</v>
          </cell>
          <cell r="B14" t="str">
            <v>Денежная единица</v>
          </cell>
          <cell r="C14" t="str">
            <v>ООО МКК "Денежная единица"</v>
          </cell>
          <cell r="D14">
            <v>7634</v>
          </cell>
          <cell r="E14">
            <v>1247</v>
          </cell>
          <cell r="F14">
            <v>105</v>
          </cell>
          <cell r="G14">
            <v>4817</v>
          </cell>
          <cell r="H14" t="str">
            <v>н/д</v>
          </cell>
          <cell r="I14">
            <v>2</v>
          </cell>
          <cell r="J14">
            <v>3.1</v>
          </cell>
          <cell r="K14">
            <v>3.6</v>
          </cell>
          <cell r="L14">
            <v>3.6</v>
          </cell>
          <cell r="M14" t="str">
            <v>н/д</v>
          </cell>
          <cell r="N14">
            <v>0.15</v>
          </cell>
          <cell r="O14">
            <v>0.14000000000000001</v>
          </cell>
          <cell r="P14">
            <v>0.14000000000000001</v>
          </cell>
          <cell r="Q14">
            <v>0.02</v>
          </cell>
          <cell r="R14" t="str">
            <v>н/д</v>
          </cell>
          <cell r="S14">
            <v>80005</v>
          </cell>
          <cell r="T14">
            <v>74947</v>
          </cell>
          <cell r="U14">
            <v>133372</v>
          </cell>
          <cell r="V14">
            <v>150000</v>
          </cell>
          <cell r="W14">
            <v>80005</v>
          </cell>
          <cell r="X14">
            <v>74947</v>
          </cell>
          <cell r="Y14">
            <v>133372</v>
          </cell>
          <cell r="Z14">
            <v>59598</v>
          </cell>
          <cell r="AA14">
            <v>74475</v>
          </cell>
          <cell r="AB14">
            <v>106030</v>
          </cell>
          <cell r="AC14">
            <v>632072</v>
          </cell>
          <cell r="AD14">
            <v>429824</v>
          </cell>
          <cell r="AE14">
            <v>392630</v>
          </cell>
          <cell r="AF14">
            <v>463713</v>
          </cell>
          <cell r="AG14">
            <v>1141000</v>
          </cell>
          <cell r="AH14">
            <v>0</v>
          </cell>
          <cell r="AI14">
            <v>0</v>
          </cell>
          <cell r="AJ14">
            <v>1.8E-3</v>
          </cell>
          <cell r="AK14">
            <v>0.41149999999999998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100</v>
          </cell>
          <cell r="BE14">
            <v>0</v>
          </cell>
          <cell r="BF14">
            <v>0</v>
          </cell>
          <cell r="BG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</row>
        <row r="15">
          <cell r="A15" t="str">
            <v>ГК До зарплаты (ДЗП-Центр и Союз 5)</v>
          </cell>
          <cell r="B15" t="str">
            <v>До Зарплаты</v>
          </cell>
          <cell r="C15" t="str">
            <v>МФО "До зарплаты"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S15">
            <v>462164</v>
          </cell>
          <cell r="T15">
            <v>457460.59413999674</v>
          </cell>
          <cell r="U15">
            <v>494485.6381099961</v>
          </cell>
          <cell r="V15">
            <v>0</v>
          </cell>
          <cell r="W15">
            <v>4037</v>
          </cell>
          <cell r="X15">
            <v>5483.2137899999998</v>
          </cell>
          <cell r="Y15">
            <v>43453.321590000007</v>
          </cell>
          <cell r="Z15">
            <v>2795</v>
          </cell>
          <cell r="AA15">
            <v>4554.3614500000003</v>
          </cell>
          <cell r="AB15">
            <v>35405.378700000001</v>
          </cell>
          <cell r="AC15">
            <v>203477</v>
          </cell>
          <cell r="AD15">
            <v>75081.049999999988</v>
          </cell>
          <cell r="AE15">
            <v>47249.48</v>
          </cell>
          <cell r="AF15">
            <v>167580.29663</v>
          </cell>
          <cell r="AH15">
            <v>0.45</v>
          </cell>
          <cell r="AI15">
            <v>0.45</v>
          </cell>
          <cell r="AJ15">
            <v>1</v>
          </cell>
          <cell r="AK15">
            <v>1</v>
          </cell>
          <cell r="AL15">
            <v>0.27810000000000001</v>
          </cell>
          <cell r="AM15">
            <v>28.94</v>
          </cell>
          <cell r="AN15">
            <v>29.92</v>
          </cell>
          <cell r="AO15">
            <v>28.73</v>
          </cell>
          <cell r="AP15">
            <v>1636588</v>
          </cell>
          <cell r="AQ15">
            <v>2050464.0048403577</v>
          </cell>
          <cell r="AR15">
            <v>2964742.9566215472</v>
          </cell>
          <cell r="AT15">
            <v>1221615</v>
          </cell>
          <cell r="AU15">
            <v>1266089.7465500527</v>
          </cell>
          <cell r="AV15">
            <v>1753276.3192502304</v>
          </cell>
          <cell r="AW15">
            <v>920287</v>
          </cell>
          <cell r="AX15">
            <v>901586.81932007161</v>
          </cell>
          <cell r="AY15">
            <v>1504669.3825002389</v>
          </cell>
          <cell r="AZ15">
            <v>1884895</v>
          </cell>
          <cell r="BA15">
            <v>2057578.9201400001</v>
          </cell>
          <cell r="BB15">
            <v>2405578.19</v>
          </cell>
          <cell r="BC15">
            <v>3515540.6154399998</v>
          </cell>
          <cell r="BE15">
            <v>0.55000000000000004</v>
          </cell>
          <cell r="BF15">
            <v>0.91500000000000004</v>
          </cell>
          <cell r="BG15">
            <v>0.95</v>
          </cell>
          <cell r="BH15">
            <v>1</v>
          </cell>
          <cell r="BI15">
            <v>0.2213</v>
          </cell>
          <cell r="BJ15">
            <v>23.68</v>
          </cell>
          <cell r="BK15">
            <v>25.72</v>
          </cell>
          <cell r="BL15">
            <v>26.01</v>
          </cell>
          <cell r="BY15">
            <v>93615</v>
          </cell>
          <cell r="BZ15">
            <v>92444.380180000007</v>
          </cell>
          <cell r="CA15">
            <v>114472.72835999999</v>
          </cell>
          <cell r="CC15">
            <v>50533</v>
          </cell>
          <cell r="CD15">
            <v>46143.756430000001</v>
          </cell>
          <cell r="CE15">
            <v>58861.54393</v>
          </cell>
          <cell r="CF15">
            <v>95400</v>
          </cell>
          <cell r="CG15">
            <v>71678.005149999997</v>
          </cell>
          <cell r="CH15">
            <v>33760</v>
          </cell>
          <cell r="CI15">
            <v>113435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 t="str">
            <v>затрудняюсь с ответом</v>
          </cell>
        </row>
        <row r="16">
          <cell r="A16" t="str">
            <v>Займер</v>
          </cell>
          <cell r="B16" t="str">
            <v>Займер</v>
          </cell>
          <cell r="C16" t="str">
            <v>ООО МФК "Займер</v>
          </cell>
          <cell r="D16">
            <v>599980</v>
          </cell>
          <cell r="E16">
            <v>664519</v>
          </cell>
          <cell r="F16">
            <v>1668938</v>
          </cell>
          <cell r="G16">
            <v>864211</v>
          </cell>
          <cell r="H16">
            <v>2891628.752071247</v>
          </cell>
          <cell r="S16">
            <v>6236970</v>
          </cell>
          <cell r="T16">
            <v>7087604</v>
          </cell>
          <cell r="U16">
            <v>9870175.6769999992</v>
          </cell>
          <cell r="V16">
            <v>11216327.256505627</v>
          </cell>
          <cell r="W16">
            <v>1772568</v>
          </cell>
          <cell r="X16">
            <v>2140206</v>
          </cell>
          <cell r="Y16">
            <v>2738625.7819999997</v>
          </cell>
          <cell r="Z16">
            <v>1279982</v>
          </cell>
          <cell r="AA16">
            <v>1762799</v>
          </cell>
          <cell r="AB16">
            <v>2138421.6</v>
          </cell>
          <cell r="AC16">
            <v>6389103</v>
          </cell>
          <cell r="AD16">
            <v>7026341</v>
          </cell>
          <cell r="AE16">
            <v>9740595</v>
          </cell>
          <cell r="AF16">
            <v>16355978</v>
          </cell>
          <cell r="AG16">
            <v>32117932.212000001</v>
          </cell>
          <cell r="AH16">
            <v>1</v>
          </cell>
          <cell r="AI16">
            <v>1</v>
          </cell>
          <cell r="AJ16">
            <v>1</v>
          </cell>
          <cell r="AK16">
            <v>1</v>
          </cell>
          <cell r="AL16">
            <v>0.25146735783879154</v>
          </cell>
          <cell r="AM16">
            <v>0.2526755472710327</v>
          </cell>
          <cell r="AN16">
            <v>0.29394586496748143</v>
          </cell>
          <cell r="AO16">
            <v>0.29394586496748143</v>
          </cell>
          <cell r="AP16">
            <v>79416</v>
          </cell>
          <cell r="AQ16">
            <v>99149</v>
          </cell>
          <cell r="AR16">
            <v>196144.30599999987</v>
          </cell>
          <cell r="AS16">
            <v>388028.00609407638</v>
          </cell>
          <cell r="AT16">
            <v>26051</v>
          </cell>
          <cell r="AU16">
            <v>29014</v>
          </cell>
          <cell r="AV16">
            <v>94325.505000000005</v>
          </cell>
          <cell r="AW16">
            <v>15905</v>
          </cell>
          <cell r="AX16">
            <v>19061</v>
          </cell>
          <cell r="AY16">
            <v>69634.8</v>
          </cell>
          <cell r="AZ16">
            <v>45045</v>
          </cell>
          <cell r="BA16">
            <v>52411</v>
          </cell>
          <cell r="BB16">
            <v>87247</v>
          </cell>
          <cell r="BC16">
            <v>259454</v>
          </cell>
          <cell r="BD16">
            <v>1018682.24212216</v>
          </cell>
          <cell r="BE16">
            <v>1</v>
          </cell>
          <cell r="BF16">
            <v>1</v>
          </cell>
          <cell r="BG16">
            <v>1</v>
          </cell>
          <cell r="BH16">
            <v>1</v>
          </cell>
          <cell r="BI16">
            <v>6.3552123552123557E-2</v>
          </cell>
          <cell r="BJ16">
            <v>7.4587052426387607E-2</v>
          </cell>
          <cell r="BK16">
            <v>0.14608106380258279</v>
          </cell>
          <cell r="BL16">
            <v>0.14608106380258279</v>
          </cell>
          <cell r="CO16" t="str">
            <v>Нет</v>
          </cell>
          <cell r="CP16" t="str">
            <v>При таком виде формулы необходимо уточнять, какие именно резервы (за период аналогичный или с учетом поколений). Если брать за аналогичный период - то нет соответствия по займам и данный показатель будет отставать с отражением тенденций портфеля. Должен быть стабильный рост, чтоб он более правильно работал. Если брать по поколениям - то также нужно добавлять период , то есть резервы за 365 дней к выдачам января и как следствие учитывать восстановление.</v>
          </cell>
        </row>
        <row r="17">
          <cell r="A17" t="str">
            <v>Zaymigo</v>
          </cell>
          <cell r="B17" t="str">
            <v>Займиго</v>
          </cell>
          <cell r="C17" t="str">
            <v>ООО Займиго МФК</v>
          </cell>
          <cell r="D17">
            <v>2375</v>
          </cell>
          <cell r="E17">
            <v>-4211</v>
          </cell>
          <cell r="F17">
            <v>9509</v>
          </cell>
          <cell r="G17">
            <v>10307</v>
          </cell>
          <cell r="H17">
            <v>25000</v>
          </cell>
          <cell r="I17">
            <v>1364</v>
          </cell>
          <cell r="J17">
            <v>1564</v>
          </cell>
          <cell r="K17">
            <v>3065</v>
          </cell>
          <cell r="L17">
            <v>2861</v>
          </cell>
          <cell r="M17">
            <v>2800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594113</v>
          </cell>
          <cell r="T17">
            <v>763735</v>
          </cell>
          <cell r="U17">
            <v>1025796</v>
          </cell>
          <cell r="V17">
            <v>1500000</v>
          </cell>
          <cell r="W17">
            <v>186458</v>
          </cell>
          <cell r="X17">
            <v>249420</v>
          </cell>
          <cell r="Y17">
            <v>463309</v>
          </cell>
          <cell r="Z17">
            <v>132910</v>
          </cell>
          <cell r="AA17">
            <v>152529</v>
          </cell>
          <cell r="AB17">
            <v>353675</v>
          </cell>
          <cell r="AC17">
            <v>485755</v>
          </cell>
          <cell r="AD17">
            <v>551967</v>
          </cell>
          <cell r="AE17">
            <v>779402</v>
          </cell>
          <cell r="AF17">
            <v>1286847</v>
          </cell>
          <cell r="AG17">
            <v>3500000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0.10440000000000001</v>
          </cell>
          <cell r="AM17">
            <v>8.9300000000000004E-2</v>
          </cell>
          <cell r="AN17">
            <v>9.7900000000000001E-2</v>
          </cell>
          <cell r="AO17">
            <v>0.11</v>
          </cell>
        </row>
        <row r="18">
          <cell r="A18" t="str">
            <v>КарМани</v>
          </cell>
          <cell r="B18" t="str">
            <v>КарМани</v>
          </cell>
          <cell r="C18" t="str">
            <v>ООО МФК "КарМани"</v>
          </cell>
          <cell r="D18">
            <v>144353.9</v>
          </cell>
          <cell r="E18">
            <v>186377.60000000001</v>
          </cell>
          <cell r="F18">
            <v>224288.1</v>
          </cell>
          <cell r="G18">
            <v>180980.7</v>
          </cell>
          <cell r="H18">
            <v>303837.21538726898</v>
          </cell>
          <cell r="I18">
            <v>16073</v>
          </cell>
          <cell r="J18">
            <v>13784</v>
          </cell>
          <cell r="K18">
            <v>17846</v>
          </cell>
          <cell r="L18">
            <v>15640</v>
          </cell>
          <cell r="M18">
            <v>16000</v>
          </cell>
          <cell r="N18">
            <v>99508.800000000003</v>
          </cell>
          <cell r="O18">
            <v>70450.899999999994</v>
          </cell>
          <cell r="P18">
            <v>144102.1</v>
          </cell>
          <cell r="Q18">
            <v>86159.9</v>
          </cell>
          <cell r="R18">
            <v>153386.55718851599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3366758.8318099999</v>
          </cell>
          <cell r="AQ18">
            <v>3524821.2823000001</v>
          </cell>
          <cell r="AR18">
            <v>3914152.1434300002</v>
          </cell>
          <cell r="AS18">
            <v>4292050.9778529704</v>
          </cell>
          <cell r="AT18">
            <v>2292452.4213700001</v>
          </cell>
          <cell r="AU18">
            <v>2500939.7209800002</v>
          </cell>
          <cell r="AV18">
            <v>2709088.0325199999</v>
          </cell>
          <cell r="AW18">
            <v>2283059.36228</v>
          </cell>
          <cell r="AX18">
            <v>2348736.46869</v>
          </cell>
          <cell r="AY18">
            <v>2504120.62262</v>
          </cell>
          <cell r="AZ18">
            <v>2116724.727</v>
          </cell>
          <cell r="BA18">
            <v>1335580.8319999999</v>
          </cell>
          <cell r="BB18">
            <v>1465033.4827699999</v>
          </cell>
          <cell r="BC18">
            <v>1679859.6099100001</v>
          </cell>
          <cell r="BD18">
            <v>1848411.96153045</v>
          </cell>
          <cell r="BE18">
            <v>100</v>
          </cell>
          <cell r="BF18">
            <v>100</v>
          </cell>
          <cell r="BG18">
            <v>100</v>
          </cell>
          <cell r="BH18">
            <v>100</v>
          </cell>
          <cell r="BI18">
            <v>0.19386229167118182</v>
          </cell>
          <cell r="BJ18">
            <v>0.17695290704477804</v>
          </cell>
          <cell r="BK18">
            <v>4.2625999999999997E-2</v>
          </cell>
          <cell r="BL18">
            <v>0.21002686288250408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 t="str">
            <v>да</v>
          </cell>
        </row>
        <row r="19">
          <cell r="A19" t="str">
            <v>Киберлэндинг (Cash-U Finance)</v>
          </cell>
          <cell r="B19" t="str">
            <v>Киберлэндинг</v>
          </cell>
          <cell r="C19" t="str">
            <v>ООО МКК "Киберлэндинг"</v>
          </cell>
          <cell r="D19">
            <v>2916</v>
          </cell>
          <cell r="E19">
            <v>0</v>
          </cell>
          <cell r="F19">
            <v>-9930</v>
          </cell>
          <cell r="G19">
            <v>40824</v>
          </cell>
          <cell r="H19">
            <v>65000</v>
          </cell>
          <cell r="I19">
            <v>0.7</v>
          </cell>
          <cell r="J19">
            <v>0.59199999999999997</v>
          </cell>
          <cell r="K19">
            <v>1.444</v>
          </cell>
          <cell r="L19">
            <v>2.4209999999999998</v>
          </cell>
          <cell r="M19">
            <v>2.4500000000000002</v>
          </cell>
          <cell r="N19">
            <v>0.24</v>
          </cell>
          <cell r="O19">
            <v>0.41</v>
          </cell>
          <cell r="P19">
            <v>0.39</v>
          </cell>
          <cell r="Q19">
            <v>0.4</v>
          </cell>
          <cell r="R19">
            <v>0.4</v>
          </cell>
          <cell r="S19">
            <v>207953</v>
          </cell>
          <cell r="T19">
            <v>323177</v>
          </cell>
          <cell r="U19">
            <v>1089198.9739999999</v>
          </cell>
          <cell r="V19">
            <v>2178397.9479999999</v>
          </cell>
          <cell r="W19">
            <v>89849</v>
          </cell>
          <cell r="X19">
            <v>172685</v>
          </cell>
          <cell r="Y19">
            <v>374131.44799999997</v>
          </cell>
          <cell r="Z19">
            <v>64442</v>
          </cell>
          <cell r="AA19">
            <v>138523</v>
          </cell>
          <cell r="AB19">
            <v>263093.902</v>
          </cell>
          <cell r="AC19">
            <v>186398</v>
          </cell>
          <cell r="AD19">
            <v>252533</v>
          </cell>
          <cell r="AE19">
            <v>483168</v>
          </cell>
          <cell r="AF19">
            <v>884839.55200000003</v>
          </cell>
          <cell r="AG19">
            <v>2539129.4428863442</v>
          </cell>
          <cell r="AH19">
            <v>100</v>
          </cell>
          <cell r="AI19">
            <v>100</v>
          </cell>
          <cell r="AJ19">
            <v>100</v>
          </cell>
          <cell r="AK19">
            <v>100</v>
          </cell>
          <cell r="AL19">
            <v>23.6</v>
          </cell>
          <cell r="AM19">
            <v>19.21</v>
          </cell>
          <cell r="AN19">
            <v>18.3</v>
          </cell>
          <cell r="AO19">
            <v>19.059999999999999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 t="str">
            <v>да</v>
          </cell>
        </row>
        <row r="20">
          <cell r="A20" t="str">
            <v>Кредито24 (бывш. Монедо)</v>
          </cell>
          <cell r="B20" t="str">
            <v>Кредито24 (бывшее Монедо)</v>
          </cell>
          <cell r="C20" t="str">
            <v>ООО МКК "Кредито24" (бывшее  ООО МФК "Монедо")</v>
          </cell>
          <cell r="D20">
            <v>90652</v>
          </cell>
          <cell r="E20">
            <v>19561</v>
          </cell>
          <cell r="F20">
            <v>-72041</v>
          </cell>
          <cell r="G20">
            <v>3889</v>
          </cell>
          <cell r="H20">
            <v>35348</v>
          </cell>
          <cell r="I20">
            <v>1.25</v>
          </cell>
          <cell r="J20">
            <v>0.98</v>
          </cell>
          <cell r="K20">
            <v>1.494</v>
          </cell>
          <cell r="L20">
            <v>1.6819999999999999</v>
          </cell>
          <cell r="M20">
            <v>1.03</v>
          </cell>
          <cell r="N20">
            <v>1.1599999999999999</v>
          </cell>
          <cell r="O20">
            <v>1.7</v>
          </cell>
          <cell r="P20">
            <v>0.03</v>
          </cell>
          <cell r="Q20">
            <v>7.4</v>
          </cell>
          <cell r="R20">
            <v>6.6</v>
          </cell>
          <cell r="S20">
            <v>202201</v>
          </cell>
          <cell r="T20">
            <v>143562</v>
          </cell>
          <cell r="U20">
            <v>237075</v>
          </cell>
          <cell r="V20">
            <v>446373</v>
          </cell>
          <cell r="W20">
            <v>152016</v>
          </cell>
          <cell r="X20">
            <v>113206</v>
          </cell>
          <cell r="Y20">
            <v>207392</v>
          </cell>
          <cell r="Z20">
            <v>110739</v>
          </cell>
          <cell r="AA20">
            <v>88320</v>
          </cell>
          <cell r="AB20">
            <v>137560</v>
          </cell>
          <cell r="AC20">
            <v>1741117</v>
          </cell>
          <cell r="AD20">
            <v>510412</v>
          </cell>
          <cell r="AE20">
            <v>904420</v>
          </cell>
          <cell r="AF20">
            <v>486039</v>
          </cell>
          <cell r="AG20">
            <v>1655090</v>
          </cell>
          <cell r="AH20">
            <v>100</v>
          </cell>
          <cell r="AI20">
            <v>100</v>
          </cell>
          <cell r="AJ20">
            <v>100</v>
          </cell>
          <cell r="AK20">
            <v>100</v>
          </cell>
        </row>
        <row r="21">
          <cell r="A21" t="str">
            <v>Лайм-Займ</v>
          </cell>
          <cell r="B21" t="str">
            <v>Лайм-займ</v>
          </cell>
          <cell r="C21" t="str">
            <v>ООО МФК "Лайм-Займ"</v>
          </cell>
          <cell r="D21">
            <v>129376</v>
          </cell>
          <cell r="E21">
            <v>-108505</v>
          </cell>
          <cell r="F21">
            <v>2669</v>
          </cell>
          <cell r="G21">
            <v>51296</v>
          </cell>
          <cell r="H21">
            <v>295254</v>
          </cell>
          <cell r="I21">
            <v>1.9</v>
          </cell>
          <cell r="J21">
            <v>2</v>
          </cell>
          <cell r="K21">
            <v>2</v>
          </cell>
          <cell r="L21">
            <v>2.1</v>
          </cell>
          <cell r="M21">
            <v>2.2999999999999998</v>
          </cell>
          <cell r="N21">
            <v>1.1299999999999999E-2</v>
          </cell>
          <cell r="O21">
            <v>1.14E-2</v>
          </cell>
          <cell r="P21">
            <v>4.1099999999999998E-2</v>
          </cell>
          <cell r="Q21">
            <v>0.11650000000000001</v>
          </cell>
          <cell r="R21">
            <v>0.11753097345132744</v>
          </cell>
          <cell r="S21">
            <v>755915</v>
          </cell>
          <cell r="T21">
            <v>640661</v>
          </cell>
          <cell r="U21">
            <v>734602</v>
          </cell>
          <cell r="V21">
            <v>1258976</v>
          </cell>
          <cell r="W21">
            <v>134621</v>
          </cell>
          <cell r="X21">
            <v>138012</v>
          </cell>
          <cell r="Y21">
            <v>262332</v>
          </cell>
          <cell r="Z21">
            <v>100941</v>
          </cell>
          <cell r="AA21">
            <v>115469</v>
          </cell>
          <cell r="AB21">
            <v>214493</v>
          </cell>
          <cell r="AC21">
            <v>624832</v>
          </cell>
          <cell r="AD21">
            <v>535747</v>
          </cell>
          <cell r="AE21">
            <v>699591</v>
          </cell>
          <cell r="AF21">
            <v>1137975</v>
          </cell>
          <cell r="AG21">
            <v>2329904</v>
          </cell>
          <cell r="AH21">
            <v>100</v>
          </cell>
          <cell r="AI21">
            <v>100</v>
          </cell>
          <cell r="AJ21">
            <v>100</v>
          </cell>
          <cell r="AK21">
            <v>100</v>
          </cell>
          <cell r="AL21">
            <v>11.2</v>
          </cell>
          <cell r="AM21">
            <v>11.9</v>
          </cell>
          <cell r="AN21">
            <v>20.329999999999998</v>
          </cell>
          <cell r="AO21">
            <v>23.5</v>
          </cell>
          <cell r="AP21">
            <v>700441</v>
          </cell>
          <cell r="AQ21">
            <v>906666</v>
          </cell>
          <cell r="AR21">
            <v>1191997</v>
          </cell>
          <cell r="AS21">
            <v>1438586</v>
          </cell>
          <cell r="AT21">
            <v>304970</v>
          </cell>
          <cell r="AU21">
            <v>402666</v>
          </cell>
          <cell r="AV21">
            <v>675233</v>
          </cell>
          <cell r="AW21">
            <v>217230</v>
          </cell>
          <cell r="AX21">
            <v>340539</v>
          </cell>
          <cell r="AY21">
            <v>539423</v>
          </cell>
          <cell r="AZ21">
            <v>811883</v>
          </cell>
          <cell r="BA21">
            <v>714525</v>
          </cell>
          <cell r="BB21">
            <v>1067269</v>
          </cell>
          <cell r="BC21">
            <v>1681201</v>
          </cell>
          <cell r="BD21">
            <v>1957492</v>
          </cell>
          <cell r="BE21">
            <v>100</v>
          </cell>
          <cell r="BF21">
            <v>100</v>
          </cell>
          <cell r="BG21">
            <v>100</v>
          </cell>
          <cell r="BH21">
            <v>100</v>
          </cell>
          <cell r="BI21">
            <v>1.1000000000000001</v>
          </cell>
          <cell r="BJ21">
            <v>0.8</v>
          </cell>
          <cell r="BK21">
            <v>14.54</v>
          </cell>
          <cell r="BL21">
            <v>16</v>
          </cell>
          <cell r="CO21" t="str">
            <v>да</v>
          </cell>
        </row>
        <row r="22">
          <cell r="A22" t="str">
            <v>MoneyMan</v>
          </cell>
          <cell r="B22" t="str">
            <v>Мани Мен</v>
          </cell>
          <cell r="C22" t="str">
            <v>ООО МФК «Мани Мен»</v>
          </cell>
          <cell r="D22">
            <v>726530</v>
          </cell>
          <cell r="E22">
            <v>357339</v>
          </cell>
          <cell r="F22">
            <v>1318324</v>
          </cell>
          <cell r="G22">
            <v>670350</v>
          </cell>
          <cell r="H22">
            <v>2300000</v>
          </cell>
          <cell r="I22">
            <v>1.764</v>
          </cell>
          <cell r="J22">
            <v>1.9670000000000001</v>
          </cell>
          <cell r="K22">
            <v>2.5870000000000002</v>
          </cell>
          <cell r="L22">
            <v>2.4039999999999999</v>
          </cell>
          <cell r="M22">
            <v>3.1349999999999998</v>
          </cell>
          <cell r="N22">
            <v>0.04</v>
          </cell>
          <cell r="O22">
            <v>3.9E-2</v>
          </cell>
          <cell r="P22">
            <v>5.5E-2</v>
          </cell>
          <cell r="Q22">
            <v>3.4000000000000002E-2</v>
          </cell>
          <cell r="R22">
            <v>2.7E-2</v>
          </cell>
          <cell r="S22">
            <v>2989610</v>
          </cell>
          <cell r="T22">
            <v>1485823</v>
          </cell>
          <cell r="U22">
            <v>1979020</v>
          </cell>
          <cell r="V22">
            <v>3958040</v>
          </cell>
          <cell r="W22">
            <v>938655</v>
          </cell>
          <cell r="X22">
            <v>1001535</v>
          </cell>
          <cell r="Y22">
            <v>1655144</v>
          </cell>
          <cell r="Z22">
            <v>642190</v>
          </cell>
          <cell r="AA22">
            <v>773936</v>
          </cell>
          <cell r="AB22">
            <v>1253212</v>
          </cell>
          <cell r="AC22">
            <v>4054317</v>
          </cell>
          <cell r="AD22">
            <v>3906880</v>
          </cell>
          <cell r="AE22">
            <v>4421075</v>
          </cell>
          <cell r="AF22">
            <v>6384625</v>
          </cell>
          <cell r="AG22">
            <v>16336620</v>
          </cell>
          <cell r="AH22">
            <v>100</v>
          </cell>
          <cell r="AI22">
            <v>100</v>
          </cell>
          <cell r="AJ22">
            <v>100</v>
          </cell>
          <cell r="AK22">
            <v>100</v>
          </cell>
          <cell r="AL22">
            <v>19.399999999999999</v>
          </cell>
          <cell r="AM22">
            <v>21.7</v>
          </cell>
          <cell r="AN22">
            <v>33.4</v>
          </cell>
          <cell r="AO22">
            <v>34.9</v>
          </cell>
          <cell r="AP22">
            <v>1340917</v>
          </cell>
          <cell r="AQ22">
            <v>2017024</v>
          </cell>
          <cell r="AR22">
            <v>2981103</v>
          </cell>
          <cell r="AS22">
            <v>4859198</v>
          </cell>
          <cell r="AT22">
            <v>691458</v>
          </cell>
          <cell r="AU22">
            <v>1723485</v>
          </cell>
          <cell r="AV22">
            <v>2599341</v>
          </cell>
          <cell r="AW22">
            <v>616533</v>
          </cell>
          <cell r="AX22">
            <v>1459918</v>
          </cell>
          <cell r="AY22">
            <v>2049944</v>
          </cell>
          <cell r="AZ22">
            <v>749192</v>
          </cell>
          <cell r="BA22">
            <v>1553961</v>
          </cell>
          <cell r="BB22">
            <v>4875957</v>
          </cell>
          <cell r="BC22">
            <v>7218471</v>
          </cell>
          <cell r="BD22">
            <v>19966980</v>
          </cell>
          <cell r="BE22">
            <v>100</v>
          </cell>
          <cell r="BF22">
            <v>100</v>
          </cell>
          <cell r="BG22">
            <v>100</v>
          </cell>
          <cell r="BH22">
            <v>100</v>
          </cell>
          <cell r="BI22" t="str">
            <v>n/a</v>
          </cell>
          <cell r="BJ22" t="str">
            <v>n/a</v>
          </cell>
          <cell r="BK22" t="str">
            <v>n/a</v>
          </cell>
          <cell r="BL22" t="str">
            <v>n/a</v>
          </cell>
          <cell r="CO22" t="str">
            <v>нет</v>
          </cell>
          <cell r="CP22" t="str">
            <v>Мы считаем, что на коротких продуктах целесообразнее считать отношение резерва по всем продуктам к выручке, которая в свою очередь включает процентные, комиссионные и другие доходы.</v>
          </cell>
        </row>
        <row r="23">
          <cell r="A23" t="str">
            <v>МигКредит</v>
          </cell>
          <cell r="D23">
            <v>231599</v>
          </cell>
          <cell r="E23">
            <v>153677</v>
          </cell>
          <cell r="F23">
            <v>303085</v>
          </cell>
          <cell r="G23">
            <v>238356</v>
          </cell>
          <cell r="H23">
            <v>423403.99767342251</v>
          </cell>
          <cell r="I23">
            <v>3.0819999999999999</v>
          </cell>
          <cell r="J23">
            <v>10.749231021897812</v>
          </cell>
          <cell r="K23">
            <v>19.117686881355933</v>
          </cell>
          <cell r="L23">
            <v>22.691423220381949</v>
          </cell>
          <cell r="M23">
            <v>16.9520134836566</v>
          </cell>
          <cell r="N23">
            <v>5.7523005352431655E-2</v>
          </cell>
          <cell r="O23">
            <v>5.9096674642385105E-2</v>
          </cell>
          <cell r="P23">
            <v>6.7624756822827217E-2</v>
          </cell>
          <cell r="Q23">
            <v>8.6393187886949802E-2</v>
          </cell>
          <cell r="R23">
            <v>0.11347190000671839</v>
          </cell>
          <cell r="S23">
            <v>44164</v>
          </cell>
          <cell r="T23">
            <v>92900</v>
          </cell>
          <cell r="U23">
            <v>407012.20199999999</v>
          </cell>
          <cell r="W23">
            <v>18652</v>
          </cell>
          <cell r="X23">
            <v>56353</v>
          </cell>
          <cell r="Y23">
            <v>327775.61399999994</v>
          </cell>
          <cell r="Z23">
            <v>11508</v>
          </cell>
          <cell r="AA23">
            <v>48090</v>
          </cell>
          <cell r="AB23">
            <v>240882.28599999999</v>
          </cell>
          <cell r="AC23">
            <v>88686</v>
          </cell>
          <cell r="AD23">
            <v>100302</v>
          </cell>
          <cell r="AE23">
            <v>168871</v>
          </cell>
          <cell r="AF23">
            <v>834669.66</v>
          </cell>
          <cell r="AG23">
            <v>2001231.81</v>
          </cell>
          <cell r="AH23">
            <v>0.999</v>
          </cell>
          <cell r="AI23">
            <v>0.998</v>
          </cell>
          <cell r="AJ23">
            <v>0.998</v>
          </cell>
          <cell r="AK23">
            <v>0.92064552673620526</v>
          </cell>
          <cell r="AL23">
            <v>0.16800000000000001</v>
          </cell>
          <cell r="AM23">
            <v>0.11600000000000001</v>
          </cell>
          <cell r="AN23">
            <v>0.19900000000000001</v>
          </cell>
          <cell r="AO23">
            <v>0.26500000000000001</v>
          </cell>
          <cell r="AP23">
            <v>5465393</v>
          </cell>
          <cell r="AQ23">
            <v>6275431</v>
          </cell>
          <cell r="AR23">
            <v>5880045.620000001</v>
          </cell>
          <cell r="AT23">
            <v>2447840</v>
          </cell>
          <cell r="AU23">
            <v>2212417</v>
          </cell>
          <cell r="AV23">
            <v>2589169.4463500152</v>
          </cell>
          <cell r="AW23">
            <v>1647254</v>
          </cell>
          <cell r="AX23">
            <v>1955331</v>
          </cell>
          <cell r="AY23">
            <v>2797306.1340000001</v>
          </cell>
          <cell r="AZ23">
            <v>3700272</v>
          </cell>
          <cell r="BA23">
            <v>2590066</v>
          </cell>
          <cell r="BB23">
            <v>2705932</v>
          </cell>
          <cell r="BC23">
            <v>3887049.7370000002</v>
          </cell>
          <cell r="BD23">
            <v>9013993.3857605774</v>
          </cell>
          <cell r="BE23">
            <v>0.26</v>
          </cell>
          <cell r="BF23">
            <v>0.29199999999999998</v>
          </cell>
          <cell r="BG23">
            <v>0.28299999999999997</v>
          </cell>
          <cell r="BH23">
            <v>0.28434719048721036</v>
          </cell>
          <cell r="BI23">
            <v>0.31900000000000001</v>
          </cell>
          <cell r="BJ23">
            <v>0.22600000000000001</v>
          </cell>
          <cell r="BK23" t="str">
            <v> 22,5%</v>
          </cell>
          <cell r="BL23">
            <v>0.19</v>
          </cell>
          <cell r="BM23">
            <v>214657</v>
          </cell>
          <cell r="BN23">
            <v>151388</v>
          </cell>
          <cell r="BO23">
            <v>311175.04399999999</v>
          </cell>
          <cell r="BQ23">
            <v>139876</v>
          </cell>
          <cell r="BR23">
            <v>85397</v>
          </cell>
          <cell r="BS23">
            <v>765952.26364998461</v>
          </cell>
          <cell r="BT23">
            <v>254396</v>
          </cell>
          <cell r="BU23">
            <v>157399</v>
          </cell>
          <cell r="BV23">
            <v>108517</v>
          </cell>
          <cell r="BW23">
            <v>330908.071</v>
          </cell>
          <cell r="BX23">
            <v>1229413.68</v>
          </cell>
          <cell r="BY23">
            <v>62057</v>
          </cell>
          <cell r="BZ23">
            <v>167469</v>
          </cell>
          <cell r="CA23">
            <v>379469.04700000002</v>
          </cell>
          <cell r="CC23">
            <v>53058</v>
          </cell>
          <cell r="CD23">
            <v>145015</v>
          </cell>
          <cell r="CE23">
            <v>362839.94</v>
          </cell>
          <cell r="CF23">
            <v>84079</v>
          </cell>
          <cell r="CG23">
            <v>68832</v>
          </cell>
          <cell r="CH23">
            <v>239932</v>
          </cell>
          <cell r="CI23">
            <v>462296.85399999999</v>
          </cell>
          <cell r="CJ23">
            <v>1476936.74372884</v>
          </cell>
          <cell r="CK23">
            <v>0</v>
          </cell>
          <cell r="CL23">
            <v>8.7591240875912413E-2</v>
          </cell>
          <cell r="CM23">
            <v>0.52203389830508473</v>
          </cell>
          <cell r="CN23">
            <v>0.7980535279805353</v>
          </cell>
          <cell r="CO23" t="str">
            <v xml:space="preserve">да </v>
          </cell>
          <cell r="CP23" t="str">
            <v>Делить необходимо на выручку, а не на объем выданных займов. И резервы необходимо брать сучётом восстановления (то есть расходы по резервам из ОоПиУ).
Данный показатель отражает среднюю тенденцию. Информацию может дать только для МКК/МФО со схожей продуктовой линейкой. В большинестве случаев данный показатель бесполезен, т.к. даже в рамках одного МКК существует множество продуктов с совершенно разным уровнем риска. Например диаметрально противоположный объем субпортфелей с разным уровнем риска может давать ту же вычисляемую величину.</v>
          </cell>
        </row>
        <row r="24">
          <cell r="A24" t="str">
            <v>Платиза.ру</v>
          </cell>
          <cell r="B24" t="str">
            <v>Платиза</v>
          </cell>
          <cell r="C24" t="str">
            <v>ООО МКК "Платиза.ру"</v>
          </cell>
          <cell r="D24">
            <v>-4032</v>
          </cell>
          <cell r="E24">
            <v>-12052</v>
          </cell>
          <cell r="F24">
            <v>-7576</v>
          </cell>
          <cell r="G24">
            <v>-4114</v>
          </cell>
          <cell r="H24">
            <v>1000</v>
          </cell>
          <cell r="I24">
            <v>1414</v>
          </cell>
          <cell r="J24">
            <v>1574.4</v>
          </cell>
          <cell r="K24">
            <v>2188.6</v>
          </cell>
          <cell r="L24">
            <v>2122</v>
          </cell>
          <cell r="M24">
            <v>2250</v>
          </cell>
          <cell r="N24">
            <v>5.0999999999999997E-2</v>
          </cell>
          <cell r="O24">
            <v>0.1152</v>
          </cell>
          <cell r="P24">
            <v>0.14460000000000001</v>
          </cell>
          <cell r="Q24">
            <v>0.16600000000000001</v>
          </cell>
          <cell r="R24">
            <v>0.20100000000000001</v>
          </cell>
          <cell r="S24">
            <v>140804</v>
          </cell>
          <cell r="T24">
            <v>133393</v>
          </cell>
          <cell r="U24">
            <v>172146</v>
          </cell>
          <cell r="V24">
            <v>200000</v>
          </cell>
          <cell r="W24">
            <v>50192</v>
          </cell>
          <cell r="X24">
            <v>74071</v>
          </cell>
          <cell r="Y24">
            <v>91755</v>
          </cell>
          <cell r="Z24">
            <v>37073</v>
          </cell>
          <cell r="AA24">
            <v>59631</v>
          </cell>
          <cell r="AB24">
            <v>67461</v>
          </cell>
          <cell r="AC24">
            <v>406174</v>
          </cell>
          <cell r="AD24">
            <v>259379</v>
          </cell>
          <cell r="AE24">
            <v>354446</v>
          </cell>
          <cell r="AF24">
            <v>453481</v>
          </cell>
          <cell r="AG24">
            <v>700000</v>
          </cell>
          <cell r="AH24">
            <v>0.82</v>
          </cell>
          <cell r="AI24">
            <v>0.88</v>
          </cell>
          <cell r="AJ24">
            <v>0.89</v>
          </cell>
          <cell r="AK24">
            <v>0.87</v>
          </cell>
          <cell r="AL24">
            <v>0.09</v>
          </cell>
          <cell r="AM24">
            <v>0.06</v>
          </cell>
          <cell r="AN24">
            <v>0.11</v>
          </cell>
          <cell r="AP24">
            <v>22278</v>
          </cell>
          <cell r="AQ24">
            <v>24026</v>
          </cell>
          <cell r="AR24">
            <v>32622</v>
          </cell>
          <cell r="AS24">
            <v>50000</v>
          </cell>
          <cell r="AT24">
            <v>7908</v>
          </cell>
          <cell r="AU24">
            <v>14085</v>
          </cell>
          <cell r="AV24">
            <v>19263</v>
          </cell>
          <cell r="AW24">
            <v>6872</v>
          </cell>
          <cell r="AX24">
            <v>12355</v>
          </cell>
          <cell r="AY24">
            <v>16268</v>
          </cell>
          <cell r="AZ24">
            <v>87340</v>
          </cell>
          <cell r="BA24">
            <v>36774</v>
          </cell>
          <cell r="BB24">
            <v>45572</v>
          </cell>
          <cell r="BC24">
            <v>69290</v>
          </cell>
          <cell r="BD24">
            <v>100000</v>
          </cell>
          <cell r="BE24">
            <v>0</v>
          </cell>
          <cell r="BF24">
            <v>0.01</v>
          </cell>
          <cell r="BG24">
            <v>0.61</v>
          </cell>
          <cell r="BH24">
            <v>0.82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 t="str">
            <v>да</v>
          </cell>
        </row>
        <row r="25">
          <cell r="A25" t="str">
            <v>Профиреал</v>
          </cell>
          <cell r="B25" t="str">
            <v>Профиреал</v>
          </cell>
          <cell r="C25" t="str">
            <v>ООО «МКК «ПРОФИРЕАЛ»</v>
          </cell>
          <cell r="D25">
            <v>-14960</v>
          </cell>
          <cell r="E25">
            <v>-41961</v>
          </cell>
          <cell r="F25">
            <v>-110889</v>
          </cell>
          <cell r="G25">
            <v>10913</v>
          </cell>
          <cell r="H25">
            <v>68542</v>
          </cell>
          <cell r="Q25">
            <v>0.17</v>
          </cell>
          <cell r="R25">
            <v>0.17</v>
          </cell>
          <cell r="AP25">
            <v>782075</v>
          </cell>
          <cell r="AQ25">
            <v>828965</v>
          </cell>
          <cell r="AR25">
            <v>874612</v>
          </cell>
          <cell r="AS25">
            <v>1008356</v>
          </cell>
          <cell r="AT25">
            <v>223726</v>
          </cell>
          <cell r="AU25">
            <v>245069</v>
          </cell>
          <cell r="AV25">
            <v>271469</v>
          </cell>
          <cell r="AW25">
            <v>179323</v>
          </cell>
          <cell r="AX25">
            <v>220721</v>
          </cell>
          <cell r="AY25">
            <v>242429</v>
          </cell>
          <cell r="AZ25">
            <v>284204</v>
          </cell>
          <cell r="BA25">
            <v>155240</v>
          </cell>
          <cell r="BB25">
            <v>238178</v>
          </cell>
          <cell r="BC25">
            <v>247970</v>
          </cell>
          <cell r="BD25">
            <v>315064</v>
          </cell>
          <cell r="BI25">
            <v>0.2205</v>
          </cell>
          <cell r="BJ25">
            <v>9.8000000000000004E-2</v>
          </cell>
          <cell r="BK25">
            <v>0.158</v>
          </cell>
          <cell r="BL25">
            <v>0.15390000000000001</v>
          </cell>
          <cell r="BY25">
            <v>3264</v>
          </cell>
          <cell r="BZ25">
            <v>3791</v>
          </cell>
          <cell r="CA25">
            <v>3385</v>
          </cell>
          <cell r="CB25">
            <v>4241</v>
          </cell>
          <cell r="CC25">
            <v>428</v>
          </cell>
          <cell r="CD25">
            <v>917</v>
          </cell>
          <cell r="CE25">
            <v>516</v>
          </cell>
          <cell r="CF25">
            <v>1967</v>
          </cell>
          <cell r="CG25">
            <v>120</v>
          </cell>
          <cell r="CH25">
            <v>939</v>
          </cell>
          <cell r="CI25">
            <v>200</v>
          </cell>
          <cell r="CJ25">
            <v>400</v>
          </cell>
          <cell r="CO25" t="str">
            <v>ДА</v>
          </cell>
        </row>
        <row r="26">
          <cell r="A26" t="str">
            <v>ГК Summit (Саммит и ДоброЗайм)</v>
          </cell>
          <cell r="B26" t="str">
            <v>Саммит_Summit Group</v>
          </cell>
          <cell r="C26" t="str">
            <v>Summit Group (бренд "Центр Займов" и "Доброзайм")</v>
          </cell>
          <cell r="D26">
            <v>49372</v>
          </cell>
          <cell r="E26">
            <v>-91083</v>
          </cell>
          <cell r="F26">
            <v>23747</v>
          </cell>
          <cell r="G26">
            <v>100453</v>
          </cell>
          <cell r="H26">
            <v>55000</v>
          </cell>
          <cell r="I26">
            <v>1.9</v>
          </cell>
          <cell r="J26">
            <v>1.9</v>
          </cell>
          <cell r="K26">
            <v>2.1</v>
          </cell>
          <cell r="L26">
            <v>2</v>
          </cell>
          <cell r="M26">
            <v>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166043</v>
          </cell>
          <cell r="T26">
            <v>71176</v>
          </cell>
          <cell r="U26">
            <v>73813</v>
          </cell>
          <cell r="V26">
            <v>114300</v>
          </cell>
          <cell r="W26">
            <v>35317</v>
          </cell>
          <cell r="X26">
            <v>29150</v>
          </cell>
          <cell r="Y26">
            <v>45031</v>
          </cell>
          <cell r="Z26">
            <v>26796</v>
          </cell>
          <cell r="AA26">
            <v>25179</v>
          </cell>
          <cell r="AB26">
            <v>37894</v>
          </cell>
          <cell r="AC26">
            <v>254923</v>
          </cell>
          <cell r="AD26">
            <v>211762</v>
          </cell>
          <cell r="AE26">
            <v>200132</v>
          </cell>
          <cell r="AF26">
            <v>196341.95</v>
          </cell>
          <cell r="AG26">
            <v>475000</v>
          </cell>
          <cell r="AH26">
            <v>0.30690000000000001</v>
          </cell>
          <cell r="AI26">
            <v>0.46050000000000002</v>
          </cell>
          <cell r="AJ26">
            <v>0.50090000000000001</v>
          </cell>
          <cell r="AK26">
            <v>0.81354190454441655</v>
          </cell>
          <cell r="AL26">
            <v>9.1999999999999998E-2</v>
          </cell>
          <cell r="AM26">
            <v>0.10100000000000001</v>
          </cell>
          <cell r="AN26">
            <v>0.28399999999999997</v>
          </cell>
          <cell r="AO26">
            <v>0.12506460700740341</v>
          </cell>
          <cell r="AP26">
            <v>1140372</v>
          </cell>
          <cell r="AQ26">
            <v>1090793</v>
          </cell>
          <cell r="AR26">
            <v>1064142</v>
          </cell>
          <cell r="AS26">
            <v>1106000</v>
          </cell>
          <cell r="AT26">
            <v>398023</v>
          </cell>
          <cell r="AU26">
            <v>447075</v>
          </cell>
          <cell r="AV26">
            <v>630568</v>
          </cell>
          <cell r="AW26">
            <v>300776</v>
          </cell>
          <cell r="AX26">
            <v>383479</v>
          </cell>
          <cell r="AY26">
            <v>527208</v>
          </cell>
          <cell r="AZ26">
            <v>1099054</v>
          </cell>
          <cell r="BA26">
            <v>701571</v>
          </cell>
          <cell r="BB26">
            <v>782364</v>
          </cell>
          <cell r="BC26">
            <v>1017260.7744400001</v>
          </cell>
          <cell r="BD26">
            <v>2125000</v>
          </cell>
          <cell r="BE26">
            <v>0.34789999999999999</v>
          </cell>
          <cell r="BF26">
            <v>0.4788</v>
          </cell>
          <cell r="BG26">
            <v>0.73919999999999997</v>
          </cell>
          <cell r="BH26">
            <v>0.92249190938511327</v>
          </cell>
          <cell r="BI26">
            <v>0.41</v>
          </cell>
          <cell r="BJ26">
            <v>0.439</v>
          </cell>
          <cell r="BK26">
            <v>0.28399999999999997</v>
          </cell>
          <cell r="BL26">
            <v>0.57251734142354305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6958</v>
          </cell>
          <cell r="BZ26">
            <v>6958</v>
          </cell>
          <cell r="CA26">
            <v>6958</v>
          </cell>
          <cell r="CB26">
            <v>6958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 t="str">
            <v>нет</v>
          </cell>
          <cell r="CP26" t="str">
            <v>Ввиду возможности применения разных подходов МКК и МФК к методике формирования резервов, считаем, что данный расчет не отразит в полной мере финансовую устойчивость МФК /МКК и не может являться основой для рынкинга.</v>
          </cell>
        </row>
        <row r="27">
          <cell r="A27" t="str">
            <v>Срочноденьги</v>
          </cell>
          <cell r="B27" t="str">
            <v>Срочноденьги</v>
          </cell>
          <cell r="C27" t="str">
            <v>ООО МКК «Срочноденьги»</v>
          </cell>
          <cell r="D27">
            <v>60462</v>
          </cell>
          <cell r="E27">
            <v>-4026</v>
          </cell>
          <cell r="F27">
            <v>-16387</v>
          </cell>
          <cell r="G27">
            <v>-80768</v>
          </cell>
          <cell r="I27">
            <v>253</v>
          </cell>
          <cell r="J27">
            <v>644</v>
          </cell>
          <cell r="K27">
            <v>880</v>
          </cell>
          <cell r="L27">
            <v>1315</v>
          </cell>
          <cell r="M27">
            <v>1350</v>
          </cell>
          <cell r="N27">
            <v>0.02</v>
          </cell>
          <cell r="O27">
            <v>4.0000000000000002E-4</v>
          </cell>
          <cell r="P27">
            <v>2.9999999999999997E-4</v>
          </cell>
          <cell r="Q27">
            <v>1E-4</v>
          </cell>
          <cell r="R27">
            <v>1E-3</v>
          </cell>
          <cell r="S27">
            <v>1270678</v>
          </cell>
          <cell r="T27">
            <v>1491328</v>
          </cell>
          <cell r="U27">
            <v>1941101</v>
          </cell>
          <cell r="V27">
            <v>2135105.5</v>
          </cell>
          <cell r="W27">
            <v>383355</v>
          </cell>
          <cell r="X27">
            <v>406753</v>
          </cell>
          <cell r="Y27">
            <v>592486</v>
          </cell>
          <cell r="Z27">
            <v>285837</v>
          </cell>
          <cell r="AA27">
            <v>324994</v>
          </cell>
          <cell r="AB27">
            <v>434194</v>
          </cell>
          <cell r="AC27">
            <v>1339287</v>
          </cell>
          <cell r="AD27">
            <v>1189543</v>
          </cell>
          <cell r="AE27">
            <v>1173677</v>
          </cell>
          <cell r="AF27">
            <v>1532560</v>
          </cell>
          <cell r="AG27">
            <v>1685816.0000000002</v>
          </cell>
          <cell r="AH27">
            <v>40</v>
          </cell>
          <cell r="AI27">
            <v>46</v>
          </cell>
          <cell r="AJ27">
            <v>53</v>
          </cell>
          <cell r="AK27">
            <v>61</v>
          </cell>
          <cell r="AL27">
            <v>59</v>
          </cell>
          <cell r="AM27">
            <v>54</v>
          </cell>
          <cell r="AN27">
            <v>58</v>
          </cell>
          <cell r="AO27">
            <v>57</v>
          </cell>
          <cell r="AP27">
            <v>237349</v>
          </cell>
          <cell r="AQ27">
            <v>319789</v>
          </cell>
          <cell r="AR27">
            <v>393950</v>
          </cell>
          <cell r="AS27">
            <v>405768.5</v>
          </cell>
          <cell r="AT27">
            <v>219949</v>
          </cell>
          <cell r="AU27">
            <v>150868</v>
          </cell>
          <cell r="AV27">
            <v>142642</v>
          </cell>
          <cell r="AW27">
            <v>152998</v>
          </cell>
          <cell r="AX27">
            <v>114962</v>
          </cell>
          <cell r="AY27">
            <v>112117</v>
          </cell>
          <cell r="AZ27">
            <v>320484</v>
          </cell>
          <cell r="BA27">
            <v>503001</v>
          </cell>
          <cell r="BB27">
            <v>382492</v>
          </cell>
          <cell r="BC27">
            <v>338700</v>
          </cell>
          <cell r="BD27">
            <v>342087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13</v>
          </cell>
          <cell r="BJ27">
            <v>9</v>
          </cell>
          <cell r="BK27">
            <v>8</v>
          </cell>
          <cell r="BL27">
            <v>16</v>
          </cell>
        </row>
        <row r="28">
          <cell r="A28" t="str">
            <v>ГК Финбридж (бывш. Деньги Сразу)</v>
          </cell>
          <cell r="D28">
            <v>38135</v>
          </cell>
          <cell r="E28">
            <v>30135</v>
          </cell>
          <cell r="F28">
            <v>257372</v>
          </cell>
          <cell r="G28">
            <v>145405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2878762</v>
          </cell>
          <cell r="T28">
            <v>3580716</v>
          </cell>
          <cell r="U28">
            <v>5231211</v>
          </cell>
          <cell r="V28">
            <v>0</v>
          </cell>
          <cell r="W28">
            <v>896262</v>
          </cell>
          <cell r="X28">
            <v>1054374</v>
          </cell>
          <cell r="Y28">
            <v>1865721</v>
          </cell>
          <cell r="Z28">
            <v>621072</v>
          </cell>
          <cell r="AA28">
            <v>786227</v>
          </cell>
          <cell r="AB28">
            <v>1303279</v>
          </cell>
          <cell r="AC28">
            <v>3972289</v>
          </cell>
          <cell r="AD28">
            <v>3188611</v>
          </cell>
          <cell r="AE28">
            <v>3724888</v>
          </cell>
          <cell r="AF28">
            <v>5793774</v>
          </cell>
          <cell r="AG28">
            <v>0</v>
          </cell>
          <cell r="AH28">
            <v>111.9</v>
          </cell>
          <cell r="AI28">
            <v>231.54</v>
          </cell>
          <cell r="AJ28">
            <v>316.5</v>
          </cell>
          <cell r="AK28">
            <v>300.3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820799</v>
          </cell>
          <cell r="AQ28">
            <v>1324763</v>
          </cell>
          <cell r="AR28">
            <v>1913926</v>
          </cell>
          <cell r="AS28">
            <v>0</v>
          </cell>
          <cell r="AT28">
            <v>377068</v>
          </cell>
          <cell r="AU28">
            <v>716824</v>
          </cell>
          <cell r="AV28">
            <v>897777</v>
          </cell>
          <cell r="AW28">
            <v>361182</v>
          </cell>
          <cell r="AX28">
            <v>551630</v>
          </cell>
          <cell r="AY28">
            <v>680643</v>
          </cell>
          <cell r="AZ28">
            <v>823869</v>
          </cell>
          <cell r="BA28">
            <v>1178517</v>
          </cell>
          <cell r="BB28">
            <v>1837682</v>
          </cell>
          <cell r="BC28">
            <v>2298109</v>
          </cell>
          <cell r="BD28">
            <v>0</v>
          </cell>
          <cell r="BE28">
            <v>103</v>
          </cell>
          <cell r="BF28">
            <v>102.2</v>
          </cell>
          <cell r="BG28">
            <v>102.3</v>
          </cell>
          <cell r="BH28">
            <v>102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34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</row>
        <row r="29">
          <cell r="A29" t="str">
            <v>ФИНТЕРРА</v>
          </cell>
          <cell r="B29" t="str">
            <v>Финтерра</v>
          </cell>
          <cell r="C29" t="str">
            <v>ООО МКК "ФИНТЕРРА"</v>
          </cell>
          <cell r="D29">
            <v>355850</v>
          </cell>
          <cell r="E29">
            <v>53519</v>
          </cell>
          <cell r="F29">
            <v>7530</v>
          </cell>
          <cell r="G29">
            <v>14338</v>
          </cell>
          <cell r="H29">
            <v>35510</v>
          </cell>
          <cell r="I29">
            <v>1000</v>
          </cell>
          <cell r="J29">
            <v>1000</v>
          </cell>
          <cell r="K29">
            <v>1000</v>
          </cell>
          <cell r="L29">
            <v>1400</v>
          </cell>
          <cell r="M29">
            <v>2000</v>
          </cell>
          <cell r="N29">
            <v>49230</v>
          </cell>
          <cell r="O29">
            <v>43669</v>
          </cell>
          <cell r="P29">
            <v>97377</v>
          </cell>
          <cell r="Q29">
            <v>59515</v>
          </cell>
          <cell r="R29">
            <v>120000</v>
          </cell>
          <cell r="S29">
            <v>804747</v>
          </cell>
          <cell r="T29">
            <v>853231</v>
          </cell>
          <cell r="U29">
            <v>1013814</v>
          </cell>
          <cell r="V29">
            <v>1400000</v>
          </cell>
          <cell r="W29">
            <v>143211</v>
          </cell>
          <cell r="X29">
            <v>241718</v>
          </cell>
          <cell r="Y29">
            <v>317390</v>
          </cell>
          <cell r="Z29">
            <v>95477</v>
          </cell>
          <cell r="AA29">
            <v>189278</v>
          </cell>
          <cell r="AB29">
            <v>213828</v>
          </cell>
          <cell r="AC29">
            <v>735865</v>
          </cell>
          <cell r="AD29">
            <v>635825</v>
          </cell>
          <cell r="AE29">
            <v>791696</v>
          </cell>
          <cell r="AF29">
            <v>1020123</v>
          </cell>
          <cell r="AG29">
            <v>2652000</v>
          </cell>
          <cell r="AH29">
            <v>0.95</v>
          </cell>
          <cell r="AI29">
            <v>6.17</v>
          </cell>
          <cell r="AJ29">
            <v>25.38</v>
          </cell>
          <cell r="AK29">
            <v>39.56</v>
          </cell>
          <cell r="AL29">
            <v>53.35</v>
          </cell>
          <cell r="AM29">
            <v>37.950000000000003</v>
          </cell>
          <cell r="AN29">
            <v>30.39</v>
          </cell>
          <cell r="AO29">
            <v>25.05</v>
          </cell>
          <cell r="AP29">
            <v>92226</v>
          </cell>
          <cell r="AQ29">
            <v>125583</v>
          </cell>
          <cell r="AR29">
            <v>212417</v>
          </cell>
          <cell r="AS29">
            <v>415000</v>
          </cell>
          <cell r="AT29">
            <v>63990</v>
          </cell>
          <cell r="AU29">
            <v>73917</v>
          </cell>
          <cell r="AV29">
            <v>116805</v>
          </cell>
          <cell r="AW29">
            <v>51317</v>
          </cell>
          <cell r="AX29">
            <v>58058</v>
          </cell>
          <cell r="AY29">
            <v>85389</v>
          </cell>
          <cell r="AZ29">
            <v>228237</v>
          </cell>
          <cell r="BA29">
            <v>198719</v>
          </cell>
          <cell r="BB29">
            <v>264208</v>
          </cell>
          <cell r="BC29">
            <v>387218</v>
          </cell>
          <cell r="BD29">
            <v>826000</v>
          </cell>
          <cell r="BE29">
            <v>0.39</v>
          </cell>
          <cell r="BF29">
            <v>6.15</v>
          </cell>
          <cell r="BG29">
            <v>39.630000000000003</v>
          </cell>
          <cell r="BH29">
            <v>56.61</v>
          </cell>
          <cell r="BI29">
            <v>16.61</v>
          </cell>
          <cell r="BJ29">
            <v>8.58</v>
          </cell>
          <cell r="BK29">
            <v>54.1</v>
          </cell>
          <cell r="BL29">
            <v>24.6</v>
          </cell>
          <cell r="BM29">
            <v>90</v>
          </cell>
          <cell r="BN29">
            <v>69</v>
          </cell>
          <cell r="BO29">
            <v>45</v>
          </cell>
          <cell r="BP29">
            <v>18</v>
          </cell>
          <cell r="BQ29">
            <v>86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O29" t="str">
            <v>да</v>
          </cell>
          <cell r="CP29" t="str">
            <v>Явялется одним из показателем оценки качества кредитного портфеля</v>
          </cell>
        </row>
        <row r="30">
          <cell r="A30" t="str">
            <v>Форвард</v>
          </cell>
          <cell r="B30" t="str">
            <v>Форвард</v>
          </cell>
          <cell r="C30" t="str">
            <v>ООО МКК «Форвард»</v>
          </cell>
          <cell r="D30">
            <v>5502</v>
          </cell>
          <cell r="E30">
            <v>4643</v>
          </cell>
          <cell r="F30">
            <v>-24127</v>
          </cell>
          <cell r="G30">
            <v>640</v>
          </cell>
          <cell r="H30">
            <v>13000</v>
          </cell>
          <cell r="I30">
            <v>2.8</v>
          </cell>
          <cell r="J30">
            <v>2.8</v>
          </cell>
          <cell r="K30">
            <v>2.8</v>
          </cell>
          <cell r="L30">
            <v>2.8</v>
          </cell>
          <cell r="M30">
            <v>2.8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AP30">
            <v>624484</v>
          </cell>
          <cell r="AQ30">
            <v>433544</v>
          </cell>
          <cell r="AR30">
            <v>426600</v>
          </cell>
          <cell r="AS30">
            <v>466000</v>
          </cell>
          <cell r="AT30">
            <v>534018</v>
          </cell>
          <cell r="AU30">
            <v>391312</v>
          </cell>
          <cell r="AV30">
            <v>376052</v>
          </cell>
          <cell r="AW30">
            <v>525189</v>
          </cell>
          <cell r="AX30">
            <v>375036</v>
          </cell>
          <cell r="AY30">
            <v>365435</v>
          </cell>
          <cell r="AZ30">
            <v>191560</v>
          </cell>
          <cell r="BA30">
            <v>195058</v>
          </cell>
          <cell r="BB30">
            <v>131630</v>
          </cell>
          <cell r="BC30">
            <v>141886</v>
          </cell>
          <cell r="BD30">
            <v>346000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34</v>
          </cell>
          <cell r="BJ30">
            <v>34</v>
          </cell>
          <cell r="BK30">
            <v>34</v>
          </cell>
          <cell r="BL30">
            <v>34</v>
          </cell>
          <cell r="CO30" t="str">
            <v>затрудняюсь с ответом</v>
          </cell>
        </row>
        <row r="31">
          <cell r="A31" t="str">
            <v>ЦФП (VIVA Деньги)</v>
          </cell>
          <cell r="B31" t="str">
            <v>ЦФП (VIVA)</v>
          </cell>
          <cell r="C31" t="str">
            <v>ООО МФК "ЦФП"</v>
          </cell>
          <cell r="D31">
            <v>222278.27121000027</v>
          </cell>
          <cell r="E31">
            <v>117017.24991999975</v>
          </cell>
          <cell r="F31">
            <v>500280.47622999962</v>
          </cell>
          <cell r="G31">
            <v>432953.75140999962</v>
          </cell>
          <cell r="H31">
            <v>1491019.4312498695</v>
          </cell>
          <cell r="N31">
            <v>3.8497210778165591E-2</v>
          </cell>
          <cell r="O31">
            <v>3.3286961005206499E-2</v>
          </cell>
          <cell r="P31">
            <v>3.9594407443880833E-2</v>
          </cell>
          <cell r="Q31">
            <v>6.7924198391846324E-2</v>
          </cell>
          <cell r="R31">
            <v>4.4189254249172714E-2</v>
          </cell>
          <cell r="S31">
            <v>25785.340195000001</v>
          </cell>
          <cell r="T31">
            <v>20119.383584999996</v>
          </cell>
          <cell r="U31">
            <v>42569.839004999994</v>
          </cell>
          <cell r="V31">
            <v>63723.203923757843</v>
          </cell>
          <cell r="W31">
            <v>3964.927885000001</v>
          </cell>
          <cell r="X31">
            <v>6216.7187349999986</v>
          </cell>
          <cell r="Y31">
            <v>15928.519474999997</v>
          </cell>
          <cell r="Z31">
            <v>3115.2675750000012</v>
          </cell>
          <cell r="AA31">
            <v>4980.076004999999</v>
          </cell>
          <cell r="AB31">
            <v>22111.326054999998</v>
          </cell>
          <cell r="AC31">
            <v>32013.208999999999</v>
          </cell>
          <cell r="AD31">
            <v>24185.7</v>
          </cell>
          <cell r="AE31">
            <v>36096.75</v>
          </cell>
          <cell r="AF31">
            <v>86752.285999999993</v>
          </cell>
          <cell r="AG31">
            <v>216312.77167633272</v>
          </cell>
          <cell r="AH31">
            <v>0.36286269025078594</v>
          </cell>
          <cell r="AI31">
            <v>0.35294409506443891</v>
          </cell>
          <cell r="AJ31">
            <v>0.40704798826192368</v>
          </cell>
          <cell r="AK31">
            <v>0.81952867501382043</v>
          </cell>
          <cell r="AP31">
            <v>3588589.8648299975</v>
          </cell>
          <cell r="AQ31">
            <v>3735750.2863099584</v>
          </cell>
          <cell r="AR31">
            <v>5349157.7436600951</v>
          </cell>
          <cell r="AS31">
            <v>8007205.9863690007</v>
          </cell>
          <cell r="AT31">
            <v>1169889.8251500006</v>
          </cell>
          <cell r="AU31">
            <v>1592677.1999699676</v>
          </cell>
          <cell r="AV31">
            <v>2127628.0030700932</v>
          </cell>
          <cell r="AW31">
            <v>925859.34076000052</v>
          </cell>
          <cell r="AX31">
            <v>1391853.0498399676</v>
          </cell>
          <cell r="AY31">
            <v>2601373.6526600933</v>
          </cell>
          <cell r="AZ31">
            <v>2035364.709</v>
          </cell>
          <cell r="BA31">
            <v>1598386.719</v>
          </cell>
          <cell r="BB31">
            <v>2267835.0860000001</v>
          </cell>
          <cell r="BC31">
            <v>4070305.4139999999</v>
          </cell>
          <cell r="BD31">
            <v>10149116.366472729</v>
          </cell>
          <cell r="BE31">
            <v>0.20117175454082284</v>
          </cell>
          <cell r="BF31">
            <v>0.15988464929180884</v>
          </cell>
          <cell r="BG31">
            <v>0.2309851439058862</v>
          </cell>
          <cell r="BH31">
            <v>0.73657687349158707</v>
          </cell>
        </row>
        <row r="32">
          <cell r="A32" t="str">
            <v>ЭйрЛоанс (Kviku)</v>
          </cell>
          <cell r="B32" t="str">
            <v>ЭйрЛоанс (Kviku)</v>
          </cell>
          <cell r="C32" t="str">
            <v>ООО "ЭйрЛоанс" (Kviku)</v>
          </cell>
          <cell r="D32">
            <v>74360</v>
          </cell>
          <cell r="E32">
            <v>17297</v>
          </cell>
          <cell r="F32">
            <v>98687</v>
          </cell>
          <cell r="G32">
            <v>210543</v>
          </cell>
          <cell r="H32">
            <v>450000</v>
          </cell>
          <cell r="I32">
            <v>1.5</v>
          </cell>
          <cell r="J32">
            <v>1.7</v>
          </cell>
          <cell r="K32">
            <v>1.7</v>
          </cell>
          <cell r="L32">
            <v>1.5</v>
          </cell>
          <cell r="M32">
            <v>1.5</v>
          </cell>
          <cell r="N32">
            <v>0.05</v>
          </cell>
          <cell r="O32">
            <v>0.06</v>
          </cell>
          <cell r="P32">
            <v>0.06</v>
          </cell>
          <cell r="Q32">
            <v>0.04</v>
          </cell>
          <cell r="R32">
            <v>0.05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1452174</v>
          </cell>
          <cell r="AQ32">
            <v>1654540</v>
          </cell>
          <cell r="AR32">
            <v>1795885</v>
          </cell>
          <cell r="AS32">
            <v>2500000</v>
          </cell>
          <cell r="AT32">
            <v>653647</v>
          </cell>
          <cell r="AU32">
            <v>763858</v>
          </cell>
          <cell r="AV32">
            <v>1014682</v>
          </cell>
          <cell r="AW32">
            <v>477525</v>
          </cell>
          <cell r="AX32">
            <v>602173</v>
          </cell>
          <cell r="AY32">
            <v>768400</v>
          </cell>
          <cell r="AZ32">
            <v>947757</v>
          </cell>
          <cell r="BA32">
            <v>1174911</v>
          </cell>
          <cell r="BB32">
            <v>1248782</v>
          </cell>
          <cell r="BC32">
            <v>1573445</v>
          </cell>
          <cell r="BD32">
            <v>4000000</v>
          </cell>
          <cell r="BE32">
            <v>1</v>
          </cell>
          <cell r="BF32">
            <v>1</v>
          </cell>
          <cell r="BG32">
            <v>1</v>
          </cell>
          <cell r="BH32">
            <v>1</v>
          </cell>
          <cell r="BI32">
            <v>0.17</v>
          </cell>
          <cell r="BJ32">
            <v>0.1</v>
          </cell>
          <cell r="BK32">
            <v>0.1</v>
          </cell>
          <cell r="BL32">
            <v>0.2</v>
          </cell>
          <cell r="BM32">
            <v>286560</v>
          </cell>
          <cell r="BN32">
            <v>767531</v>
          </cell>
          <cell r="BO32">
            <v>1717562</v>
          </cell>
          <cell r="BP32">
            <v>5000000</v>
          </cell>
          <cell r="BQ32">
            <v>232361</v>
          </cell>
          <cell r="BR32">
            <v>712295</v>
          </cell>
          <cell r="BS32">
            <v>1570241</v>
          </cell>
          <cell r="BT32">
            <v>319847</v>
          </cell>
          <cell r="BU32">
            <v>259270</v>
          </cell>
          <cell r="BV32">
            <v>799418</v>
          </cell>
          <cell r="BW32">
            <v>1665641</v>
          </cell>
          <cell r="BX32">
            <v>4000000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 t="str">
            <v>да</v>
          </cell>
          <cell r="CP32" t="str">
            <v>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lls"/>
      <sheetName val="Result"/>
      <sheetName val="Трансп"/>
    </sheetNames>
    <sheetDataSet>
      <sheetData sheetId="0"/>
      <sheetData sheetId="1"/>
      <sheetData sheetId="2">
        <row r="3">
          <cell r="A3" t="str">
            <v>ГК Eqvanta (Быстроденьги и Турбозайм)</v>
          </cell>
          <cell r="B3" t="str">
            <v>Eqvanta</v>
          </cell>
          <cell r="C3" t="str">
            <v xml:space="preserve">группа компаний Eqvanta </v>
          </cell>
          <cell r="D3">
            <v>1.3760932058587323</v>
          </cell>
          <cell r="E3">
            <v>1.5532194130853729</v>
          </cell>
          <cell r="F3">
            <v>2.3244512568926372</v>
          </cell>
          <cell r="G3">
            <v>2.5705970825477751</v>
          </cell>
          <cell r="H3">
            <v>2.527984136937226</v>
          </cell>
          <cell r="I3">
            <v>0.25014763523764977</v>
          </cell>
          <cell r="J3">
            <v>0.33188419180235151</v>
          </cell>
          <cell r="K3">
            <v>0.36063955194447328</v>
          </cell>
          <cell r="L3">
            <v>0.34221878842743797</v>
          </cell>
          <cell r="M3">
            <v>0.29456986322217582</v>
          </cell>
        </row>
        <row r="4">
          <cell r="A4" t="str">
            <v>SimpleFinance</v>
          </cell>
          <cell r="B4" t="str">
            <v>SimpleFinance</v>
          </cell>
          <cell r="C4" t="str">
            <v>SimpleFinance</v>
          </cell>
          <cell r="D4"/>
          <cell r="E4"/>
          <cell r="F4"/>
          <cell r="G4"/>
          <cell r="H4"/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A5" t="str">
            <v>Агроинтегратор</v>
          </cell>
          <cell r="B5" t="str">
            <v>Агроинтегратор - sme</v>
          </cell>
          <cell r="C5" t="str">
            <v>ООО МКК "Агроинтегратор"</v>
          </cell>
          <cell r="D5">
            <v>2</v>
          </cell>
          <cell r="E5">
            <v>3</v>
          </cell>
          <cell r="F5">
            <v>4</v>
          </cell>
          <cell r="G5">
            <v>4</v>
          </cell>
          <cell r="H5">
            <v>7</v>
          </cell>
          <cell r="I5">
            <v>1191</v>
          </cell>
          <cell r="J5">
            <v>1339</v>
          </cell>
          <cell r="K5">
            <v>3469</v>
          </cell>
          <cell r="L5">
            <v>3234</v>
          </cell>
          <cell r="M5">
            <v>5400</v>
          </cell>
        </row>
        <row r="6">
          <cell r="A6" t="str">
            <v>Академическая</v>
          </cell>
          <cell r="B6" t="str">
            <v>Академическая</v>
          </cell>
          <cell r="C6" t="str">
            <v>web-zaim.ru (МКК Академическая)</v>
          </cell>
          <cell r="D6"/>
          <cell r="E6">
            <v>1.534</v>
          </cell>
          <cell r="F6">
            <v>2.2360000000000002</v>
          </cell>
          <cell r="G6">
            <v>2.1890000000000001</v>
          </cell>
          <cell r="H6">
            <v>2.3140000000000001</v>
          </cell>
          <cell r="I6"/>
          <cell r="J6"/>
          <cell r="K6"/>
          <cell r="L6"/>
          <cell r="M6"/>
        </row>
        <row r="7">
          <cell r="A7" t="str">
            <v>Арифметика</v>
          </cell>
          <cell r="B7" t="str">
            <v>Арифметика</v>
          </cell>
          <cell r="C7" t="str">
            <v>ООО МКК "Арифметика"</v>
          </cell>
          <cell r="D7">
            <v>0.4</v>
          </cell>
          <cell r="E7">
            <v>0.6</v>
          </cell>
          <cell r="F7">
            <v>0.7</v>
          </cell>
          <cell r="G7">
            <v>0.9</v>
          </cell>
          <cell r="H7">
            <v>0.9</v>
          </cell>
          <cell r="I7">
            <v>6.3000000000000003E-4</v>
          </cell>
          <cell r="J7">
            <v>3.8000000000000002E-4</v>
          </cell>
          <cell r="K7">
            <v>1.9550000000000001E-2</v>
          </cell>
          <cell r="L7">
            <v>6.7330000000000001E-2</v>
          </cell>
          <cell r="M7">
            <v>8.9560000000000001E-2</v>
          </cell>
        </row>
        <row r="8">
          <cell r="A8" t="str">
            <v>Ваш инвестор</v>
          </cell>
          <cell r="B8" t="str">
            <v>Ваш инвестор</v>
          </cell>
          <cell r="C8" t="str">
            <v>Сервис займов "Ваш Инвестор"</v>
          </cell>
          <cell r="D8"/>
          <cell r="E8"/>
          <cell r="F8"/>
          <cell r="G8"/>
          <cell r="H8"/>
          <cell r="I8">
            <v>6.1999999999999998E-3</v>
          </cell>
          <cell r="J8">
            <v>5.7000000000000002E-3</v>
          </cell>
          <cell r="K8">
            <v>6.1999999999999998E-3</v>
          </cell>
          <cell r="L8">
            <v>1.9099999999999999E-2</v>
          </cell>
          <cell r="M8"/>
        </row>
        <row r="9">
          <cell r="A9" t="str">
            <v>Webbankir</v>
          </cell>
          <cell r="B9" t="str">
            <v>Веббанкир</v>
          </cell>
          <cell r="C9" t="str">
            <v>ООО МФК "ВЭББАНКИР"</v>
          </cell>
          <cell r="D9">
            <v>1462</v>
          </cell>
          <cell r="E9">
            <v>1956</v>
          </cell>
          <cell r="F9">
            <v>3585</v>
          </cell>
          <cell r="G9">
            <v>3332</v>
          </cell>
          <cell r="H9">
            <v>3406</v>
          </cell>
          <cell r="I9">
            <v>1.1199433992731499E-2</v>
          </cell>
          <cell r="J9">
            <v>5.5222638729518719E-4</v>
          </cell>
          <cell r="K9">
            <v>5.7755639714344943E-4</v>
          </cell>
          <cell r="L9">
            <v>5.6158535967413912E-3</v>
          </cell>
          <cell r="M9">
            <v>5.6158535967413912E-3</v>
          </cell>
        </row>
        <row r="10">
          <cell r="A10" t="str">
            <v>ГК Twino (Макро и Веритас)</v>
          </cell>
          <cell r="B10" t="str">
            <v>Веритас</v>
          </cell>
          <cell r="C10" t="str">
            <v>ООО МФК "Веритас"</v>
          </cell>
          <cell r="D10"/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18</v>
          </cell>
          <cell r="J10">
            <v>7.25</v>
          </cell>
          <cell r="K10">
            <v>4.24</v>
          </cell>
          <cell r="L10">
            <v>3.03</v>
          </cell>
          <cell r="M10">
            <v>0</v>
          </cell>
        </row>
        <row r="11">
          <cell r="A11" t="str">
            <v>Главный займ (Колибри деньги)</v>
          </cell>
          <cell r="B11" t="str">
            <v>Главный займ (Колибри деньги)</v>
          </cell>
          <cell r="C11" t="str">
            <v>ООО "МКК Главный займ" (бренд "Колибри деньги")</v>
          </cell>
          <cell r="D11">
            <v>2100</v>
          </cell>
          <cell r="E11">
            <v>2226</v>
          </cell>
          <cell r="F11">
            <v>1986</v>
          </cell>
          <cell r="G11">
            <v>1524</v>
          </cell>
          <cell r="H11">
            <v>1915</v>
          </cell>
          <cell r="I11"/>
          <cell r="J11"/>
          <cell r="K11"/>
          <cell r="L11"/>
          <cell r="M11"/>
        </row>
        <row r="12">
          <cell r="A12" t="str">
            <v>Стабильные финансы (Гринмани)</v>
          </cell>
          <cell r="B12" t="str">
            <v>Гринмани</v>
          </cell>
          <cell r="C12" t="str">
            <v>ООО МКК "СФ"</v>
          </cell>
          <cell r="D12">
            <v>8.2000000000000003E-2</v>
          </cell>
          <cell r="E12">
            <v>1.25</v>
          </cell>
          <cell r="F12">
            <v>1.5</v>
          </cell>
          <cell r="G12">
            <v>1.7</v>
          </cell>
          <cell r="H12">
            <v>1.85</v>
          </cell>
          <cell r="I12">
            <v>0.22</v>
          </cell>
          <cell r="J12">
            <v>0.12</v>
          </cell>
          <cell r="K12">
            <v>0.1</v>
          </cell>
          <cell r="L12">
            <v>0.19</v>
          </cell>
          <cell r="M12">
            <v>0.21</v>
          </cell>
        </row>
        <row r="13">
          <cell r="A13" t="str">
            <v>Денежная единица</v>
          </cell>
          <cell r="B13" t="str">
            <v>Денежная единица</v>
          </cell>
          <cell r="C13" t="str">
            <v>ООО МКК "Денежная единица"</v>
          </cell>
          <cell r="D13">
            <v>2</v>
          </cell>
          <cell r="E13">
            <v>3.1</v>
          </cell>
          <cell r="F13">
            <v>3.6</v>
          </cell>
          <cell r="G13">
            <v>3.6</v>
          </cell>
          <cell r="H13" t="str">
            <v>н/д</v>
          </cell>
          <cell r="I13">
            <v>0.15</v>
          </cell>
          <cell r="J13">
            <v>0.14000000000000001</v>
          </cell>
          <cell r="K13">
            <v>0.14000000000000001</v>
          </cell>
          <cell r="L13">
            <v>0.02</v>
          </cell>
          <cell r="M13" t="str">
            <v>н/д</v>
          </cell>
        </row>
        <row r="14">
          <cell r="A14" t="str">
            <v>ГК До зарплаты (ДЗП-Центр и Союз 5)</v>
          </cell>
          <cell r="B14" t="str">
            <v>До Зарплаты</v>
          </cell>
          <cell r="C14" t="str">
            <v>МФО "До зарплаты"</v>
          </cell>
          <cell r="D14" t="str">
            <v>-</v>
          </cell>
          <cell r="E14" t="str">
            <v>-</v>
          </cell>
          <cell r="F14" t="str">
            <v>-</v>
          </cell>
          <cell r="G14" t="str">
            <v>-</v>
          </cell>
          <cell r="H14" t="str">
            <v>-</v>
          </cell>
          <cell r="I14"/>
          <cell r="J14"/>
          <cell r="K14"/>
          <cell r="L14"/>
          <cell r="M14"/>
        </row>
        <row r="15">
          <cell r="A15" t="str">
            <v>Займер</v>
          </cell>
          <cell r="B15" t="str">
            <v>Займер</v>
          </cell>
          <cell r="C15" t="str">
            <v>ООО МФК "Займер</v>
          </cell>
          <cell r="D15"/>
          <cell r="E15"/>
          <cell r="F15"/>
          <cell r="G15"/>
          <cell r="H15"/>
          <cell r="I15"/>
          <cell r="J15"/>
          <cell r="K15"/>
          <cell r="L15"/>
          <cell r="M15"/>
        </row>
        <row r="16">
          <cell r="A16" t="str">
            <v>Zaymigo</v>
          </cell>
          <cell r="B16" t="str">
            <v>Займиго</v>
          </cell>
          <cell r="C16" t="str">
            <v>ООО Займиго МФК</v>
          </cell>
          <cell r="D16">
            <v>1364</v>
          </cell>
          <cell r="E16">
            <v>1564</v>
          </cell>
          <cell r="F16">
            <v>3065</v>
          </cell>
          <cell r="G16">
            <v>2861</v>
          </cell>
          <cell r="H16">
            <v>2800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КарМани</v>
          </cell>
          <cell r="B17" t="str">
            <v>КарМани</v>
          </cell>
          <cell r="C17" t="str">
            <v>ООО МФК "КарМани"</v>
          </cell>
          <cell r="D17">
            <v>16073</v>
          </cell>
          <cell r="E17">
            <v>13784</v>
          </cell>
          <cell r="F17">
            <v>17846</v>
          </cell>
          <cell r="G17">
            <v>15640</v>
          </cell>
          <cell r="H17">
            <v>16000</v>
          </cell>
          <cell r="I17">
            <v>99508.800000000003</v>
          </cell>
          <cell r="J17">
            <v>70450.899999999994</v>
          </cell>
          <cell r="K17">
            <v>144102.1</v>
          </cell>
          <cell r="L17">
            <v>86159.9</v>
          </cell>
          <cell r="M17">
            <v>153386.55718851599</v>
          </cell>
        </row>
        <row r="18">
          <cell r="A18" t="str">
            <v>Киберлэндинг (Cash-U Finance)</v>
          </cell>
          <cell r="B18" t="str">
            <v>Киберлэндинг</v>
          </cell>
          <cell r="C18" t="str">
            <v>ООО МКК "Киберлэндинг"</v>
          </cell>
          <cell r="D18">
            <v>0.7</v>
          </cell>
          <cell r="E18">
            <v>0.59199999999999997</v>
          </cell>
          <cell r="F18">
            <v>1.444</v>
          </cell>
          <cell r="G18">
            <v>2.4209999999999998</v>
          </cell>
          <cell r="H18">
            <v>2.4500000000000002</v>
          </cell>
          <cell r="I18">
            <v>0.24</v>
          </cell>
          <cell r="J18">
            <v>0.41</v>
          </cell>
          <cell r="K18">
            <v>0.39</v>
          </cell>
          <cell r="L18">
            <v>0.4</v>
          </cell>
          <cell r="M18">
            <v>0.4</v>
          </cell>
        </row>
        <row r="19">
          <cell r="A19" t="str">
            <v>Кредито24 (бывш. Монедо)</v>
          </cell>
          <cell r="B19" t="str">
            <v>Кредито24 (бывшее Монедо)</v>
          </cell>
          <cell r="C19" t="str">
            <v>ООО МКК "Кредито24" (бывшее  ООО МФК "Монедо")</v>
          </cell>
          <cell r="D19">
            <v>1.25</v>
          </cell>
          <cell r="E19">
            <v>0.98</v>
          </cell>
          <cell r="F19">
            <v>1.494</v>
          </cell>
          <cell r="G19">
            <v>1.6819999999999999</v>
          </cell>
          <cell r="H19">
            <v>1.03</v>
          </cell>
          <cell r="I19">
            <v>1.1599999999999999</v>
          </cell>
          <cell r="J19">
            <v>1.7</v>
          </cell>
          <cell r="K19">
            <v>0.03</v>
          </cell>
          <cell r="L19">
            <v>7.4</v>
          </cell>
          <cell r="M19">
            <v>6.6</v>
          </cell>
        </row>
        <row r="20">
          <cell r="A20" t="str">
            <v>Лайм-Займ</v>
          </cell>
          <cell r="B20" t="str">
            <v>Лайм-займ</v>
          </cell>
          <cell r="C20" t="str">
            <v>ООО МФК "Лайм-Займ"</v>
          </cell>
          <cell r="D20">
            <v>1.9</v>
          </cell>
          <cell r="E20">
            <v>2</v>
          </cell>
          <cell r="F20">
            <v>2</v>
          </cell>
          <cell r="G20">
            <v>2.1</v>
          </cell>
          <cell r="H20">
            <v>2.2999999999999998</v>
          </cell>
          <cell r="I20">
            <v>1.1299999999999999E-2</v>
          </cell>
          <cell r="J20">
            <v>1.14E-2</v>
          </cell>
          <cell r="K20">
            <v>4.1099999999999998E-2</v>
          </cell>
          <cell r="L20">
            <v>0.11650000000000001</v>
          </cell>
          <cell r="M20">
            <v>0.11753097345132744</v>
          </cell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</row>
        <row r="22">
          <cell r="A22" t="str">
            <v>MoneyMan</v>
          </cell>
          <cell r="B22" t="str">
            <v>Мани Мен</v>
          </cell>
          <cell r="C22" t="str">
            <v>ООО МФК «Мани Мен»</v>
          </cell>
          <cell r="D22">
            <v>1.764</v>
          </cell>
          <cell r="E22">
            <v>1.9670000000000001</v>
          </cell>
          <cell r="F22">
            <v>2.5870000000000002</v>
          </cell>
          <cell r="G22">
            <v>2.4039999999999999</v>
          </cell>
          <cell r="H22">
            <v>3.1349999999999998</v>
          </cell>
          <cell r="I22">
            <v>0.04</v>
          </cell>
          <cell r="J22">
            <v>3.9E-2</v>
          </cell>
          <cell r="K22">
            <v>5.5E-2</v>
          </cell>
          <cell r="L22">
            <v>3.4000000000000002E-2</v>
          </cell>
          <cell r="M22">
            <v>2.7E-2</v>
          </cell>
        </row>
        <row r="23">
          <cell r="A23" t="str">
            <v>МигКредит</v>
          </cell>
          <cell r="B23" t="str">
            <v>МигКредит (МигКредит)</v>
          </cell>
          <cell r="C23" t="str">
            <v>ООО МФК  "МигКредит"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A24" t="str">
            <v>Платиза.ру</v>
          </cell>
          <cell r="B24" t="str">
            <v>Платиза</v>
          </cell>
          <cell r="C24" t="str">
            <v>ООО МКК "Платиза.ру"</v>
          </cell>
          <cell r="D24">
            <v>1414</v>
          </cell>
          <cell r="E24">
            <v>1574.4</v>
          </cell>
          <cell r="F24">
            <v>2188.6</v>
          </cell>
          <cell r="G24">
            <v>2122</v>
          </cell>
          <cell r="H24">
            <v>2250</v>
          </cell>
          <cell r="I24">
            <v>5.0999999999999997E-2</v>
          </cell>
          <cell r="J24">
            <v>0.1152</v>
          </cell>
          <cell r="K24">
            <v>0.14460000000000001</v>
          </cell>
          <cell r="L24">
            <v>0.16600000000000001</v>
          </cell>
          <cell r="M24">
            <v>0.20100000000000001</v>
          </cell>
        </row>
        <row r="25">
          <cell r="A25" t="str">
            <v>Профиреал</v>
          </cell>
          <cell r="B25" t="str">
            <v>Профиреал</v>
          </cell>
          <cell r="C25" t="str">
            <v>ООО «МКК «ПРОФИРЕАЛ»</v>
          </cell>
          <cell r="D25"/>
          <cell r="E25"/>
          <cell r="F25"/>
          <cell r="G25"/>
          <cell r="H25"/>
          <cell r="I25"/>
          <cell r="J25"/>
          <cell r="K25"/>
          <cell r="L25">
            <v>0.17</v>
          </cell>
          <cell r="M25">
            <v>0.17</v>
          </cell>
        </row>
        <row r="26">
          <cell r="A26" t="str">
            <v>ГК Summit (Саммит и ДоброЗайм)</v>
          </cell>
          <cell r="B26" t="str">
            <v>Саммит_Summit Group</v>
          </cell>
          <cell r="C26" t="str">
            <v>Summit Group (бренд "Центр Займов" и "Доброзайм")</v>
          </cell>
          <cell r="D26">
            <v>1.9</v>
          </cell>
          <cell r="E26">
            <v>1.9</v>
          </cell>
          <cell r="F26">
            <v>2.1</v>
          </cell>
          <cell r="G26">
            <v>2</v>
          </cell>
          <cell r="H26">
            <v>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Срочноденьги</v>
          </cell>
          <cell r="B27" t="str">
            <v>Срочноденьги</v>
          </cell>
          <cell r="C27" t="str">
            <v>ООО МКК «Срочноденьги»</v>
          </cell>
          <cell r="D27">
            <v>253</v>
          </cell>
          <cell r="E27">
            <v>644</v>
          </cell>
          <cell r="F27">
            <v>880</v>
          </cell>
          <cell r="G27">
            <v>1315</v>
          </cell>
          <cell r="H27">
            <v>1350</v>
          </cell>
          <cell r="I27">
            <v>0.02</v>
          </cell>
          <cell r="J27">
            <v>4.0000000000000002E-4</v>
          </cell>
          <cell r="K27">
            <v>2.9999999999999997E-4</v>
          </cell>
          <cell r="L27">
            <v>1E-4</v>
          </cell>
          <cell r="M27">
            <v>1E-3</v>
          </cell>
        </row>
        <row r="28">
          <cell r="A28" t="str">
            <v>ГК Финбридж (бывш. Деньги Сразу)</v>
          </cell>
          <cell r="B28" t="str">
            <v>Финбридж_КА</v>
          </cell>
          <cell r="C28" t="str">
            <v>ООО "МКК КАНГАРИЯ"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A29" t="str">
            <v>ФИНТЕРРА</v>
          </cell>
          <cell r="B29" t="str">
            <v>Финтерра</v>
          </cell>
          <cell r="C29" t="str">
            <v>ООО МКК "ФИНТЕРРА"</v>
          </cell>
          <cell r="D29">
            <v>1000</v>
          </cell>
          <cell r="E29">
            <v>1000</v>
          </cell>
          <cell r="F29">
            <v>1000</v>
          </cell>
          <cell r="G29">
            <v>1400</v>
          </cell>
          <cell r="H29">
            <v>2000</v>
          </cell>
          <cell r="I29">
            <v>49230</v>
          </cell>
          <cell r="J29">
            <v>43669</v>
          </cell>
          <cell r="K29">
            <v>97377</v>
          </cell>
          <cell r="L29">
            <v>59515</v>
          </cell>
          <cell r="M29">
            <v>120000</v>
          </cell>
        </row>
        <row r="30">
          <cell r="A30" t="str">
            <v>Форвард</v>
          </cell>
          <cell r="B30" t="str">
            <v>Форвард</v>
          </cell>
          <cell r="C30" t="str">
            <v>ООО МКК «Форвард»</v>
          </cell>
          <cell r="D30">
            <v>2.8</v>
          </cell>
          <cell r="E30">
            <v>2.8</v>
          </cell>
          <cell r="F30">
            <v>2.8</v>
          </cell>
          <cell r="G30">
            <v>2.8</v>
          </cell>
          <cell r="H30">
            <v>2.8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ЦФП (VIVA Деньги)</v>
          </cell>
          <cell r="B31" t="str">
            <v>ЦФП (VIVA)</v>
          </cell>
          <cell r="C31" t="str">
            <v>ООО МФК "ЦФП"</v>
          </cell>
          <cell r="D31"/>
          <cell r="E31"/>
          <cell r="F31"/>
          <cell r="G31"/>
          <cell r="H31"/>
          <cell r="I31">
            <v>3.8497210778165591E-2</v>
          </cell>
          <cell r="J31">
            <v>3.3286961005206499E-2</v>
          </cell>
          <cell r="K31">
            <v>3.9594407443880833E-2</v>
          </cell>
          <cell r="L31">
            <v>6.7924198391846324E-2</v>
          </cell>
          <cell r="M31">
            <v>4.4189254249172714E-2</v>
          </cell>
        </row>
        <row r="32">
          <cell r="A32" t="str">
            <v>ЭйрЛоанс (Kviku)</v>
          </cell>
          <cell r="B32" t="str">
            <v>ЭйрЛоанс (Kviku)</v>
          </cell>
          <cell r="C32" t="str">
            <v>ООО "ЭйрЛоанс" (Kviku)</v>
          </cell>
          <cell r="D32">
            <v>1.5</v>
          </cell>
          <cell r="E32">
            <v>1.7</v>
          </cell>
          <cell r="F32">
            <v>1.7</v>
          </cell>
          <cell r="G32">
            <v>1.5</v>
          </cell>
          <cell r="H32">
            <v>1.5</v>
          </cell>
          <cell r="I32">
            <v>0.05</v>
          </cell>
          <cell r="J32">
            <v>0.06</v>
          </cell>
          <cell r="K32">
            <v>0.06</v>
          </cell>
          <cell r="L32">
            <v>0.04</v>
          </cell>
          <cell r="M32">
            <v>0.05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X68"/>
  <sheetViews>
    <sheetView topLeftCell="A22" workbookViewId="0">
      <selection activeCell="A40" sqref="A40"/>
    </sheetView>
  </sheetViews>
  <sheetFormatPr defaultRowHeight="15" x14ac:dyDescent="0.25"/>
  <cols>
    <col min="2" max="2" width="95.7109375" customWidth="1"/>
  </cols>
  <sheetData>
    <row r="1" spans="1:24" x14ac:dyDescent="0.25">
      <c r="A1" t="s">
        <v>70</v>
      </c>
    </row>
    <row r="2" spans="1:24" s="6" customFormat="1" ht="56.25" x14ac:dyDescent="0.25">
      <c r="A2" s="1" t="s">
        <v>2</v>
      </c>
      <c r="B2" s="2" t="s">
        <v>0</v>
      </c>
      <c r="C2" s="1" t="s">
        <v>3</v>
      </c>
      <c r="D2" s="1" t="s">
        <v>4</v>
      </c>
      <c r="E2" s="3" t="s">
        <v>1</v>
      </c>
      <c r="F2" s="4"/>
      <c r="G2" s="5"/>
      <c r="H2" s="5"/>
      <c r="I2" s="5"/>
      <c r="J2" s="5"/>
      <c r="L2" s="7"/>
      <c r="M2" s="8"/>
      <c r="N2" s="8"/>
      <c r="O2" s="8"/>
      <c r="P2"/>
      <c r="Q2"/>
      <c r="R2"/>
      <c r="S2" s="5"/>
      <c r="T2" s="5"/>
      <c r="U2" s="5"/>
      <c r="V2" s="9"/>
      <c r="W2" s="5"/>
      <c r="X2" s="5"/>
    </row>
    <row r="3" spans="1:24" x14ac:dyDescent="0.25">
      <c r="A3">
        <v>1</v>
      </c>
      <c r="B3" t="s">
        <v>5</v>
      </c>
      <c r="C3" s="11">
        <f>VLOOKUP(B3,[1]Трансп!A$3:U$38,10,FALSE)/1000</f>
        <v>814.94677000000001</v>
      </c>
      <c r="D3" s="11">
        <f>VLOOKUP(B3,[1]Трансп!A$3:U$38,8,FALSE)/1000</f>
        <v>445.37513000000001</v>
      </c>
      <c r="E3" s="13">
        <f>C3/D3-1</f>
        <v>0.82979855655613277</v>
      </c>
    </row>
    <row r="4" spans="1:24" x14ac:dyDescent="0.25">
      <c r="A4">
        <v>2</v>
      </c>
      <c r="B4" t="s">
        <v>6</v>
      </c>
      <c r="C4" s="11">
        <f>VLOOKUP(B4,[1]Трансп!A$3:U$38,10,FALSE)/1000</f>
        <v>199.81800000000001</v>
      </c>
      <c r="D4" s="11">
        <f>VLOOKUP(B4,[1]Трансп!A$3:U$38,8,FALSE)/1000</f>
        <v>161.21600000000001</v>
      </c>
      <c r="E4" s="13">
        <f t="shared" ref="E4:E66" si="0">C4/D4-1</f>
        <v>0.23944273521238579</v>
      </c>
    </row>
    <row r="5" spans="1:24" x14ac:dyDescent="0.25">
      <c r="A5">
        <v>3</v>
      </c>
      <c r="B5" t="s">
        <v>7</v>
      </c>
      <c r="C5" s="11">
        <f>VLOOKUP(B5,[1]Трансп!A$3:U$38,10,FALSE)/1000</f>
        <v>719.99569799999995</v>
      </c>
      <c r="D5" s="11">
        <f>VLOOKUP(B5,[1]Трансп!A$3:U$38,8,FALSE)/1000</f>
        <v>530.81035600000007</v>
      </c>
      <c r="E5" s="13">
        <f t="shared" si="0"/>
        <v>0.35640853623436053</v>
      </c>
    </row>
    <row r="6" spans="1:24" x14ac:dyDescent="0.25">
      <c r="A6">
        <v>4</v>
      </c>
      <c r="B6" t="s">
        <v>8</v>
      </c>
      <c r="C6" s="11">
        <f>VLOOKUP(B6,[1]Трансп!A$3:U$38,10,FALSE)/1000</f>
        <v>494.49</v>
      </c>
      <c r="D6" s="11">
        <f>VLOOKUP(B6,[1]Трансп!A$3:U$38,8,FALSE)/1000</f>
        <v>391.98899999999998</v>
      </c>
      <c r="E6" s="13">
        <f t="shared" si="0"/>
        <v>0.26148948057215904</v>
      </c>
    </row>
    <row r="7" spans="1:24" x14ac:dyDescent="0.25">
      <c r="A7">
        <v>5</v>
      </c>
      <c r="B7" t="s">
        <v>9</v>
      </c>
      <c r="C7" s="11">
        <f>VLOOKUP(B7,[1]Трансп!A$3:U$38,10,FALSE)/1000</f>
        <v>664.553</v>
      </c>
      <c r="D7" s="11">
        <f>VLOOKUP(B7,[1]Трансп!A$3:U$38,8,FALSE)/1000</f>
        <v>507.27100000000002</v>
      </c>
      <c r="E7" s="13">
        <f t="shared" si="0"/>
        <v>0.31005517760723555</v>
      </c>
    </row>
    <row r="8" spans="1:24" x14ac:dyDescent="0.25">
      <c r="A8">
        <v>6</v>
      </c>
      <c r="B8" t="s">
        <v>10</v>
      </c>
      <c r="C8" s="11">
        <f>VLOOKUP(B8,[1]Трансп!A$3:U$38,10,FALSE)/1000</f>
        <v>768.19500000000005</v>
      </c>
      <c r="D8" s="11">
        <f>VLOOKUP(B8,[1]Трансп!A$3:U$38,8,FALSE)/1000</f>
        <v>577.99599999999998</v>
      </c>
      <c r="E8" s="13">
        <f t="shared" si="0"/>
        <v>0.32906629111620167</v>
      </c>
    </row>
    <row r="9" spans="1:24" x14ac:dyDescent="0.25">
      <c r="A9">
        <v>7</v>
      </c>
      <c r="B9" t="s">
        <v>11</v>
      </c>
      <c r="C9" s="11">
        <f>VLOOKUP(B9,[1]Трансп!A$3:U$38,10,FALSE)/1000</f>
        <v>85.304000000000002</v>
      </c>
      <c r="D9" s="11">
        <f>VLOOKUP(B9,[1]Трансп!A$3:U$38,8,FALSE)/1000</f>
        <v>42.494</v>
      </c>
      <c r="E9" s="13">
        <f t="shared" si="0"/>
        <v>1.0074363439544407</v>
      </c>
    </row>
    <row r="10" spans="1:24" x14ac:dyDescent="0.25">
      <c r="A10">
        <v>8</v>
      </c>
      <c r="B10" t="s">
        <v>12</v>
      </c>
      <c r="C10" s="11">
        <f>VLOOKUP(B10,[1]Трансп!A$3:U$38,10,FALSE)/1000</f>
        <v>220.476</v>
      </c>
      <c r="D10" s="11">
        <f>VLOOKUP(B10,[1]Трансп!A$3:U$38,8,FALSE)/1000</f>
        <v>103.82299999999999</v>
      </c>
      <c r="E10" s="13">
        <f t="shared" si="0"/>
        <v>1.1235757009525829</v>
      </c>
    </row>
    <row r="11" spans="1:24" x14ac:dyDescent="0.25">
      <c r="A11">
        <v>9</v>
      </c>
      <c r="B11" t="s">
        <v>13</v>
      </c>
      <c r="C11" s="11">
        <f>VLOOKUP(B11,[1]Трансп!A$3:U$38,10,FALSE)/1000</f>
        <v>732.27300000000002</v>
      </c>
      <c r="D11" s="11">
        <f>VLOOKUP(B11,[1]Трансп!A$3:U$38,8,FALSE)/1000</f>
        <v>528.21</v>
      </c>
      <c r="E11" s="13">
        <f t="shared" si="0"/>
        <v>0.38632930084625428</v>
      </c>
    </row>
    <row r="12" spans="1:24" x14ac:dyDescent="0.25">
      <c r="A12">
        <v>10</v>
      </c>
      <c r="B12" t="s">
        <v>14</v>
      </c>
      <c r="C12" s="11">
        <f>VLOOKUP(B12,[1]Трансп!A$3:U$38,10,FALSE)/1000</f>
        <v>672.87400000000002</v>
      </c>
      <c r="D12" s="11">
        <f>VLOOKUP(B12,[1]Трансп!A$3:U$38,8,FALSE)/1000</f>
        <v>561.88199999999995</v>
      </c>
      <c r="E12" s="13">
        <f t="shared" si="0"/>
        <v>0.19753613748082355</v>
      </c>
    </row>
    <row r="13" spans="1:24" x14ac:dyDescent="0.25">
      <c r="A13">
        <v>11</v>
      </c>
      <c r="B13" t="s">
        <v>15</v>
      </c>
      <c r="C13" s="11">
        <f>VLOOKUP(B13,[1]Трансп!A$3:U$38,10,FALSE)/1000</f>
        <v>648.96951000000001</v>
      </c>
      <c r="D13" s="11">
        <f>VLOOKUP(B13,[1]Трансп!A$3:U$38,8,FALSE)/1000</f>
        <v>555.03</v>
      </c>
      <c r="E13" s="13">
        <f t="shared" si="0"/>
        <v>0.16925122966326156</v>
      </c>
    </row>
    <row r="14" spans="1:24" x14ac:dyDescent="0.25">
      <c r="A14">
        <v>12</v>
      </c>
      <c r="B14" t="s">
        <v>16</v>
      </c>
      <c r="C14" s="11">
        <f>VLOOKUP(B14,[1]Трансп!A$3:U$38,10,FALSE)/1000</f>
        <v>935.89800000000002</v>
      </c>
      <c r="D14" s="11">
        <f>VLOOKUP(B14,[1]Трансп!A$3:U$38,8,FALSE)/1000</f>
        <v>776.11500000000001</v>
      </c>
      <c r="E14" s="13">
        <f t="shared" si="0"/>
        <v>0.20587541794708253</v>
      </c>
    </row>
    <row r="15" spans="1:24" x14ac:dyDescent="0.25">
      <c r="A15">
        <v>13</v>
      </c>
      <c r="B15" t="s">
        <v>17</v>
      </c>
      <c r="C15" s="11">
        <f>VLOOKUP(B15,[1]Трансп!A$3:U$38,10,FALSE)/1000</f>
        <v>2411.614</v>
      </c>
      <c r="D15" s="11">
        <f>VLOOKUP(B15,[1]Трансп!A$3:U$38,8,FALSE)/1000</f>
        <v>1835.306</v>
      </c>
      <c r="E15" s="13">
        <f t="shared" si="0"/>
        <v>0.31401194133294386</v>
      </c>
    </row>
    <row r="16" spans="1:24" x14ac:dyDescent="0.25">
      <c r="A16">
        <v>14</v>
      </c>
      <c r="B16" t="s">
        <v>18</v>
      </c>
      <c r="C16" s="11">
        <f>VLOOKUP(B16,[1]Трансп!A$3:U$38,10,FALSE)/1000</f>
        <v>1810.3291999999999</v>
      </c>
      <c r="D16" s="11">
        <f>VLOOKUP(B16,[1]Трансп!A$3:U$38,8,FALSE)/1000</f>
        <v>1131.8176000000001</v>
      </c>
      <c r="E16" s="13">
        <f t="shared" si="0"/>
        <v>0.59948846881334927</v>
      </c>
    </row>
    <row r="17" spans="1:5" x14ac:dyDescent="0.25">
      <c r="A17">
        <v>15</v>
      </c>
      <c r="B17" t="s">
        <v>19</v>
      </c>
      <c r="C17" s="11">
        <f>VLOOKUP(B17,[1]Трансп!A$3:U$38,10,FALSE)/1000</f>
        <v>212.709</v>
      </c>
      <c r="D17" s="11">
        <f>VLOOKUP(B17,[1]Трансп!A$3:U$38,8,FALSE)/1000</f>
        <v>156.75299999999999</v>
      </c>
      <c r="E17" s="13">
        <f t="shared" si="0"/>
        <v>0.35696924460775881</v>
      </c>
    </row>
    <row r="18" spans="1:5" x14ac:dyDescent="0.25">
      <c r="A18">
        <v>16</v>
      </c>
      <c r="B18" t="s">
        <v>20</v>
      </c>
      <c r="C18" s="11">
        <f>VLOOKUP(B18,[1]Трансп!A$3:U$38,10,FALSE)/1000</f>
        <v>436.25900000000001</v>
      </c>
      <c r="D18" s="11">
        <f>VLOOKUP(B18,[1]Трансп!A$3:U$38,8,FALSE)/1000</f>
        <v>195.18600000000001</v>
      </c>
      <c r="E18" s="13">
        <f t="shared" si="0"/>
        <v>1.2350937054911726</v>
      </c>
    </row>
    <row r="19" spans="1:5" x14ac:dyDescent="0.25">
      <c r="A19">
        <v>17</v>
      </c>
      <c r="B19" t="s">
        <v>21</v>
      </c>
      <c r="C19" s="11">
        <f>VLOOKUP(B19,[1]Трансп!A$3:U$38,10,FALSE)/1000</f>
        <v>687.73340000000007</v>
      </c>
      <c r="D19" s="11">
        <f>VLOOKUP(B19,[1]Трансп!A$3:U$38,8,FALSE)/1000</f>
        <v>479.03809999999999</v>
      </c>
      <c r="E19" s="13">
        <f t="shared" si="0"/>
        <v>0.43565490928592121</v>
      </c>
    </row>
    <row r="20" spans="1:5" x14ac:dyDescent="0.25">
      <c r="A20">
        <v>18</v>
      </c>
      <c r="B20" t="s">
        <v>22</v>
      </c>
      <c r="C20" s="11">
        <f>VLOOKUP(B20,[1]Трансп!A$3:U$38,10,FALSE)/1000</f>
        <v>795.95969600000001</v>
      </c>
      <c r="D20" s="11">
        <f>VLOOKUP(B20,[1]Трансп!A$3:U$38,8,FALSE)/1000</f>
        <v>584.85199999999998</v>
      </c>
      <c r="E20" s="13">
        <f t="shared" si="0"/>
        <v>0.36095917599666238</v>
      </c>
    </row>
    <row r="21" spans="1:5" x14ac:dyDescent="0.25">
      <c r="A21">
        <v>19</v>
      </c>
      <c r="B21" t="s">
        <v>23</v>
      </c>
      <c r="C21" s="11">
        <f>VLOOKUP(B21,[1]Трансп!A$3:U$38,10,FALSE)/1000</f>
        <v>882.46199999999999</v>
      </c>
      <c r="D21" s="11">
        <f>VLOOKUP(B21,[1]Трансп!A$3:U$38,8,FALSE)/1000</f>
        <v>735.81399999999996</v>
      </c>
      <c r="E21" s="13">
        <f t="shared" si="0"/>
        <v>0.19930036666875051</v>
      </c>
    </row>
    <row r="22" spans="1:5" x14ac:dyDescent="0.25">
      <c r="A22">
        <v>20</v>
      </c>
      <c r="B22" t="s">
        <v>24</v>
      </c>
      <c r="C22" s="11">
        <f>VLOOKUP(B22,[1]Трансп!A$3:U$38,10,FALSE)/1000</f>
        <v>1066.117</v>
      </c>
      <c r="D22" s="11">
        <f>VLOOKUP(B22,[1]Трансп!A$3:U$38,8,FALSE)/1000</f>
        <v>917.05399999999997</v>
      </c>
      <c r="E22" s="13">
        <f t="shared" si="0"/>
        <v>0.16254549895644099</v>
      </c>
    </row>
    <row r="23" spans="1:5" x14ac:dyDescent="0.25">
      <c r="A23">
        <v>21</v>
      </c>
      <c r="B23" t="s">
        <v>25</v>
      </c>
      <c r="C23" s="11">
        <f>VLOOKUP(B23,[1]Трансп!A$3:U$38,10,FALSE)/1000</f>
        <v>600.83600000000001</v>
      </c>
      <c r="D23" s="11">
        <f>VLOOKUP(B23,[1]Трансп!A$3:U$38,8,FALSE)/1000</f>
        <v>513.50599999999997</v>
      </c>
      <c r="E23" s="13">
        <f t="shared" si="0"/>
        <v>0.17006617254715639</v>
      </c>
    </row>
    <row r="24" spans="1:5" x14ac:dyDescent="0.25">
      <c r="A24">
        <v>22</v>
      </c>
      <c r="B24" t="s">
        <v>26</v>
      </c>
      <c r="C24" s="11">
        <f>VLOOKUP(B24,[1]Трансп!A$3:U$38,10,FALSE)/1000</f>
        <v>598.77</v>
      </c>
      <c r="D24" s="11">
        <f>VLOOKUP(B24,[1]Трансп!A$3:U$38,8,FALSE)/1000</f>
        <v>410.66699999999997</v>
      </c>
      <c r="E24" s="13">
        <f t="shared" si="0"/>
        <v>0.45804264769265624</v>
      </c>
    </row>
    <row r="25" spans="1:5" x14ac:dyDescent="0.25">
      <c r="A25">
        <v>23</v>
      </c>
      <c r="B25" t="s">
        <v>27</v>
      </c>
      <c r="C25" s="11">
        <f>VLOOKUP(B25,[1]Трансп!A$3:U$38,10,FALSE)/1000</f>
        <v>1618.5570700000001</v>
      </c>
      <c r="D25" s="11">
        <f>VLOOKUP(B25,[1]Трансп!A$3:U$38,8,FALSE)/1000</f>
        <v>1409.9659199999999</v>
      </c>
      <c r="E25" s="13">
        <f t="shared" si="0"/>
        <v>0.14794056157045277</v>
      </c>
    </row>
    <row r="26" spans="1:5" x14ac:dyDescent="0.25">
      <c r="A26">
        <v>24</v>
      </c>
      <c r="B26" t="s">
        <v>28</v>
      </c>
      <c r="C26" s="11">
        <f>VLOOKUP(B26,[1]Трансп!A$3:U$38,10,FALSE)/1000</f>
        <v>462.053</v>
      </c>
      <c r="D26" s="11">
        <f>VLOOKUP(B26,[1]Трансп!A$3:U$38,8,FALSE)/1000</f>
        <v>269.25099999999998</v>
      </c>
      <c r="E26" s="13">
        <f t="shared" si="0"/>
        <v>0.71606790689728195</v>
      </c>
    </row>
    <row r="27" spans="1:5" x14ac:dyDescent="0.25">
      <c r="A27">
        <v>25</v>
      </c>
      <c r="B27" t="s">
        <v>29</v>
      </c>
      <c r="C27" s="11">
        <f>VLOOKUP(B27,[1]Трансп!A$3:U$38,10,FALSE)/1000</f>
        <v>1163.8620000000001</v>
      </c>
      <c r="D27" s="11">
        <f>VLOOKUP(B27,[1]Трансп!A$3:U$38,8,FALSE)/1000</f>
        <v>1071.328</v>
      </c>
      <c r="E27" s="13">
        <f t="shared" si="0"/>
        <v>8.6373174228621119E-2</v>
      </c>
    </row>
    <row r="28" spans="1:5" x14ac:dyDescent="0.25">
      <c r="A28">
        <v>26</v>
      </c>
      <c r="B28" t="s">
        <v>30</v>
      </c>
      <c r="C28" s="11">
        <f>VLOOKUP(B28,[1]Трансп!A$3:U$38,10,FALSE)/1000</f>
        <v>1670.78</v>
      </c>
      <c r="D28" s="11">
        <f>VLOOKUP(B28,[1]Трансп!A$3:U$38,8,FALSE)/1000</f>
        <v>1535.46</v>
      </c>
      <c r="E28" s="13">
        <f t="shared" si="0"/>
        <v>8.812994151589737E-2</v>
      </c>
    </row>
    <row r="29" spans="1:5" x14ac:dyDescent="0.25">
      <c r="A29">
        <v>27</v>
      </c>
      <c r="B29" t="s">
        <v>31</v>
      </c>
      <c r="C29" s="11" t="e">
        <f>VLOOKUP(B29,[1]Трансп!A$3:U$38,10,FALSE)/1000</f>
        <v>#N/A</v>
      </c>
      <c r="D29" s="11" t="e">
        <f>VLOOKUP(B29,[1]Трансп!A$3:U$38,8,FALSE)/1000</f>
        <v>#N/A</v>
      </c>
      <c r="E29" s="13" t="e">
        <f t="shared" si="0"/>
        <v>#N/A</v>
      </c>
    </row>
    <row r="30" spans="1:5" x14ac:dyDescent="0.25">
      <c r="A30">
        <v>28</v>
      </c>
      <c r="B30" t="s">
        <v>32</v>
      </c>
      <c r="C30" s="11">
        <f>VLOOKUP(B30,[1]Трансп!A$3:U$38,10,FALSE)/1000</f>
        <v>1113.373</v>
      </c>
      <c r="D30" s="11">
        <f>VLOOKUP(B30,[1]Трансп!A$3:U$38,8,FALSE)/1000</f>
        <v>860.92899999999997</v>
      </c>
      <c r="E30" s="13">
        <f t="shared" si="0"/>
        <v>0.29322278608340535</v>
      </c>
    </row>
    <row r="31" spans="1:5" x14ac:dyDescent="0.25">
      <c r="A31">
        <v>29</v>
      </c>
      <c r="B31" t="s">
        <v>33</v>
      </c>
      <c r="C31" s="11">
        <f>VLOOKUP(B31,[1]Трансп!A$3:U$38,10,FALSE)/1000</f>
        <v>70.72</v>
      </c>
      <c r="D31" s="11">
        <f>VLOOKUP(B31,[1]Трансп!A$3:U$38,8,FALSE)/1000</f>
        <v>73.449780000000004</v>
      </c>
      <c r="E31" s="13">
        <f t="shared" si="0"/>
        <v>-3.7165257676741947E-2</v>
      </c>
    </row>
    <row r="32" spans="1:5" x14ac:dyDescent="0.25">
      <c r="A32">
        <v>30</v>
      </c>
      <c r="B32" t="s">
        <v>34</v>
      </c>
      <c r="C32" s="11">
        <f>VLOOKUP(B32,[1]Трансп!A$3:U$38,10,FALSE)/1000</f>
        <v>1658.179891</v>
      </c>
      <c r="D32" s="11">
        <f>VLOOKUP(B32,[1]Трансп!A$3:U$38,8,FALSE)/1000</f>
        <v>1349.248</v>
      </c>
      <c r="E32" s="13">
        <f t="shared" si="0"/>
        <v>0.22896598030903137</v>
      </c>
    </row>
    <row r="33" spans="1:5" x14ac:dyDescent="0.25">
      <c r="A33">
        <v>31</v>
      </c>
      <c r="B33" t="s">
        <v>35</v>
      </c>
      <c r="C33" s="11">
        <f>VLOOKUP(B33,[1]Трансп!A$3:U$38,10,FALSE)/1000</f>
        <v>1547.7912426</v>
      </c>
      <c r="D33" s="11">
        <f>VLOOKUP(B33,[1]Трансп!A$3:U$38,8,FALSE)/1000</f>
        <v>1335.1154960000001</v>
      </c>
      <c r="E33" s="13">
        <f t="shared" si="0"/>
        <v>0.15929389422651119</v>
      </c>
    </row>
    <row r="34" spans="1:5" x14ac:dyDescent="0.25">
      <c r="A34">
        <v>32</v>
      </c>
      <c r="B34" t="s">
        <v>36</v>
      </c>
      <c r="C34" s="11">
        <f>VLOOKUP(B34,[1]Трансп!A$3:U$38,10,FALSE)/1000</f>
        <v>34.923999999999999</v>
      </c>
      <c r="D34" s="11">
        <f>VLOOKUP(B34,[1]Трансп!A$3:U$38,8,FALSE)/1000</f>
        <v>30.148</v>
      </c>
      <c r="E34" s="13">
        <f t="shared" si="0"/>
        <v>0.15841846888682509</v>
      </c>
    </row>
    <row r="35" spans="1:5" x14ac:dyDescent="0.25">
      <c r="A35">
        <v>33</v>
      </c>
      <c r="B35" t="s">
        <v>37</v>
      </c>
      <c r="C35" s="11">
        <f>VLOOKUP(B35,[1]Трансп!A$3:U$38,10,FALSE)/1000</f>
        <v>647.226</v>
      </c>
      <c r="D35" s="11">
        <f>VLOOKUP(B35,[1]Трансп!A$3:U$38,8,FALSE)/1000</f>
        <v>460.97500000000002</v>
      </c>
      <c r="E35" s="13">
        <f t="shared" si="0"/>
        <v>0.40403709528716303</v>
      </c>
    </row>
    <row r="36" spans="1:5" x14ac:dyDescent="0.25">
      <c r="A36">
        <v>34</v>
      </c>
      <c r="B36" t="s">
        <v>38</v>
      </c>
      <c r="C36" s="11">
        <f>VLOOKUP(B36,[1]Трансп!A$3:U$38,10,FALSE)/1000</f>
        <v>1348.258</v>
      </c>
      <c r="D36" s="11">
        <f>VLOOKUP(B36,[1]Трансп!A$3:U$38,8,FALSE)/1000</f>
        <v>715.05</v>
      </c>
      <c r="E36" s="13">
        <f t="shared" si="0"/>
        <v>0.88554366827494602</v>
      </c>
    </row>
    <row r="37" spans="1:5" x14ac:dyDescent="0.25">
      <c r="A37">
        <v>35</v>
      </c>
      <c r="B37" t="s">
        <v>39</v>
      </c>
      <c r="C37" s="11">
        <f>VLOOKUP(B37,[1]Трансп!A$3:U$38,10,FALSE)/1000</f>
        <v>1116.3810000000001</v>
      </c>
      <c r="D37" s="11">
        <f>VLOOKUP(B37,[1]Трансп!A$3:U$38,8,FALSE)/1000</f>
        <v>999.30200000000002</v>
      </c>
      <c r="E37" s="13">
        <f t="shared" si="0"/>
        <v>0.11716077822319981</v>
      </c>
    </row>
    <row r="38" spans="1:5" x14ac:dyDescent="0.25">
      <c r="A38">
        <v>36</v>
      </c>
      <c r="B38" t="s">
        <v>40</v>
      </c>
      <c r="C38" s="11">
        <f>VLOOKUP(B38,[1]Трансп!A$3:U$38,10,FALSE)/1000</f>
        <v>151.53531000000001</v>
      </c>
      <c r="D38" s="11">
        <f>VLOOKUP(B38,[1]Трансп!A$3:U$38,8,FALSE)/1000</f>
        <v>178.57266000000001</v>
      </c>
      <c r="E38" s="13">
        <f t="shared" si="0"/>
        <v>-0.15140811588963288</v>
      </c>
    </row>
    <row r="39" spans="1:5" x14ac:dyDescent="0.25">
      <c r="A39">
        <v>37</v>
      </c>
      <c r="B39" t="s">
        <v>41</v>
      </c>
      <c r="C39" s="11">
        <f>VLOOKUP(B39,[1]Трансп!A$3:U$38,10,FALSE)/1000</f>
        <v>527.96112000000005</v>
      </c>
      <c r="D39" s="11">
        <f>VLOOKUP(B39,[1]Трансп!A$3:U$38,8,FALSE)/1000</f>
        <v>316.411</v>
      </c>
      <c r="E39" s="13">
        <f t="shared" si="0"/>
        <v>0.66859281124866099</v>
      </c>
    </row>
    <row r="40" spans="1:5" x14ac:dyDescent="0.25">
      <c r="A40">
        <v>38</v>
      </c>
      <c r="B40" t="s">
        <v>42</v>
      </c>
      <c r="C40" s="11">
        <f>(VLOOKUP(B40,[2]Трансп!A$2:CP$32,21,FALSE)+VLOOKUP(B40,[2]Трансп!A$2:CP$32,44,FALSE)+VLOOKUP(B40,[2]Трансп!A$2:CP$32,67,FALSE)+VLOOKUP(B40,[2]Трансп!A$2:CP$32,79,FALSE))/1000</f>
        <v>4382.1629999999996</v>
      </c>
      <c r="D40" s="11">
        <f>(VLOOKUP(B40,[2]Трансп!A$2:CP$32,19,FALSE)+VLOOKUP(B40,[2]Трансп!A$2:CP$32,42,FALSE)+VLOOKUP(B40,[2]Трансп!A$2:CP$32,65,FALSE)+VLOOKUP(B40,[2]Трансп!A$2:CP$32,77,FALSE))/1000</f>
        <v>2808.5540000000001</v>
      </c>
      <c r="E40" s="13">
        <f t="shared" si="0"/>
        <v>0.56029152368086899</v>
      </c>
    </row>
    <row r="41" spans="1:5" x14ac:dyDescent="0.25">
      <c r="A41">
        <v>40</v>
      </c>
      <c r="B41" t="s">
        <v>44</v>
      </c>
      <c r="C41" s="11">
        <f>(VLOOKUP(B41,[2]Трансп!A$2:CP$32,21,FALSE)+VLOOKUP(B41,[2]Трансп!A$2:CP$32,44,FALSE)+VLOOKUP(B41,[2]Трансп!A$2:CP$32,67,FALSE)+VLOOKUP(B41,[2]Трансп!A$2:CP$32,79,FALSE))/1000</f>
        <v>370</v>
      </c>
      <c r="D41" s="11">
        <f>(VLOOKUP(B41,[2]Трансп!A$2:CP$32,19,FALSE)+VLOOKUP(B41,[2]Трансп!A$2:CP$32,42,FALSE)+VLOOKUP(B41,[2]Трансп!A$2:CP$32,65,FALSE)+VLOOKUP(B41,[2]Трансп!A$2:CP$32,77,FALSE))/1000</f>
        <v>164</v>
      </c>
      <c r="E41" s="13">
        <f t="shared" si="0"/>
        <v>1.2560975609756095</v>
      </c>
    </row>
    <row r="42" spans="1:5" x14ac:dyDescent="0.25">
      <c r="A42">
        <v>41</v>
      </c>
      <c r="B42" t="s">
        <v>45</v>
      </c>
      <c r="C42" s="11">
        <f>(VLOOKUP(B42,[2]Трансп!A$2:CP$32,21,FALSE)+VLOOKUP(B42,[2]Трансп!A$2:CP$32,44,FALSE)+VLOOKUP(B42,[2]Трансп!A$2:CP$32,67,FALSE)+VLOOKUP(B42,[2]Трансп!A$2:CP$32,79,FALSE))/1000</f>
        <v>2368.723</v>
      </c>
      <c r="D42" s="11">
        <f>(VLOOKUP(B42,[2]Трансп!A$2:CP$32,19,FALSE)+VLOOKUP(B42,[2]Трансп!A$2:CP$32,42,FALSE)+VLOOKUP(B42,[2]Трансп!A$2:CP$32,65,FALSE)+VLOOKUP(B42,[2]Трансп!A$2:CP$32,77,FALSE))/1000</f>
        <v>783.08600000000001</v>
      </c>
      <c r="E42" s="13">
        <f t="shared" si="0"/>
        <v>2.024856784567723</v>
      </c>
    </row>
    <row r="43" spans="1:5" x14ac:dyDescent="0.25">
      <c r="A43">
        <v>42</v>
      </c>
      <c r="B43" t="s">
        <v>46</v>
      </c>
      <c r="C43" s="11">
        <f>(VLOOKUP(B43,[2]Трансп!A$2:CP$32,21,FALSE)+VLOOKUP(B43,[2]Трансп!A$2:CP$32,44,FALSE)+VLOOKUP(B43,[2]Трансп!A$2:CP$32,67,FALSE)+VLOOKUP(B43,[2]Трансп!A$2:CP$32,79,FALSE))/1000</f>
        <v>2875.2310000000002</v>
      </c>
      <c r="D43" s="11">
        <f>(VLOOKUP(B43,[2]Трансп!A$2:CP$32,19,FALSE)+VLOOKUP(B43,[2]Трансп!A$2:CP$32,42,FALSE)+VLOOKUP(B43,[2]Трансп!A$2:CP$32,65,FALSE)+VLOOKUP(B43,[2]Трансп!A$2:CP$32,77,FALSE))/1000</f>
        <v>2387.4949999999999</v>
      </c>
      <c r="E43" s="13">
        <f t="shared" si="0"/>
        <v>0.20428775767069673</v>
      </c>
    </row>
    <row r="44" spans="1:5" x14ac:dyDescent="0.25">
      <c r="A44">
        <v>43</v>
      </c>
      <c r="B44" t="s">
        <v>47</v>
      </c>
      <c r="C44" s="11">
        <f>(VLOOKUP(B44,[2]Трансп!A$2:CP$32,21,FALSE)+VLOOKUP(B44,[2]Трансп!A$2:CP$32,44,FALSE)+VLOOKUP(B44,[2]Трансп!A$2:CP$32,67,FALSE)+VLOOKUP(B44,[2]Трансп!A$2:CP$32,79,FALSE))/1000</f>
        <v>980.30799999999999</v>
      </c>
      <c r="D44" s="11">
        <f>(VLOOKUP(B44,[2]Трансп!A$2:CP$32,19,FALSE)+VLOOKUP(B44,[2]Трансп!A$2:CP$32,42,FALSE)+VLOOKUP(B44,[2]Трансп!A$2:CP$32,65,FALSE)+VLOOKUP(B44,[2]Трансп!A$2:CP$32,77,FALSE))/1000</f>
        <v>740.49800000000005</v>
      </c>
      <c r="E44" s="13">
        <f t="shared" si="0"/>
        <v>0.32384962552228358</v>
      </c>
    </row>
    <row r="45" spans="1:5" x14ac:dyDescent="0.25">
      <c r="A45">
        <v>44</v>
      </c>
      <c r="B45" t="s">
        <v>48</v>
      </c>
      <c r="C45" s="11">
        <f>(VLOOKUP(B45,[2]Трансп!A$2:CP$32,21,FALSE)+VLOOKUP(B45,[2]Трансп!A$2:CP$32,44,FALSE)+VLOOKUP(B45,[2]Трансп!A$2:CP$32,67,FALSE)+VLOOKUP(B45,[2]Трансп!A$2:CP$32,79,FALSE))/1000</f>
        <v>1654.5129999999999</v>
      </c>
      <c r="D45" s="11">
        <f>(VLOOKUP(B45,[2]Трансп!A$2:CP$32,19,FALSE)+VLOOKUP(B45,[2]Трансп!A$2:CP$32,42,FALSE)+VLOOKUP(B45,[2]Трансп!A$2:CP$32,65,FALSE)+VLOOKUP(B45,[2]Трансп!A$2:CP$32,77,FALSE))/1000</f>
        <v>1564.5050000000001</v>
      </c>
      <c r="E45" s="13">
        <f t="shared" si="0"/>
        <v>5.7531295841176444E-2</v>
      </c>
    </row>
    <row r="46" spans="1:5" x14ac:dyDescent="0.25">
      <c r="A46">
        <v>45</v>
      </c>
      <c r="B46" t="s">
        <v>49</v>
      </c>
      <c r="C46" s="11">
        <f>(VLOOKUP(B46,[2]Трансп!A$2:CP$32,21,FALSE)+VLOOKUP(B46,[2]Трансп!A$2:CP$32,44,FALSE)+VLOOKUP(B46,[2]Трансп!A$2:CP$32,67,FALSE)+VLOOKUP(B46,[2]Трансп!A$2:CP$32,79,FALSE))/1000</f>
        <v>2977.5680000000002</v>
      </c>
      <c r="D46" s="11">
        <f>(VLOOKUP(B46,[2]Трансп!A$2:CP$32,19,FALSE)+VLOOKUP(B46,[2]Трансп!A$2:CP$32,42,FALSE)+VLOOKUP(B46,[2]Трансп!A$2:CP$32,65,FALSE)+VLOOKUP(B46,[2]Трансп!A$2:CP$32,77,FALSE))/1000</f>
        <v>2288.8560000000002</v>
      </c>
      <c r="E46" s="13">
        <f t="shared" si="0"/>
        <v>0.3008979158147127</v>
      </c>
    </row>
    <row r="47" spans="1:5" x14ac:dyDescent="0.25">
      <c r="A47">
        <v>46</v>
      </c>
      <c r="B47" t="s">
        <v>50</v>
      </c>
      <c r="C47" s="11">
        <f>(VLOOKUP(B47,[2]Трансп!A$2:CP$32,21,FALSE)+VLOOKUP(B47,[2]Трансп!A$2:CP$32,44,FALSE)+VLOOKUP(B47,[2]Трансп!A$2:CP$32,67,FALSE)+VLOOKUP(B47,[2]Трансп!A$2:CP$32,79,FALSE))/1000</f>
        <v>76.093000000000004</v>
      </c>
      <c r="D47" s="11">
        <f>(VLOOKUP(B47,[2]Трансп!A$2:CP$32,19,FALSE)+VLOOKUP(B47,[2]Трансп!A$2:CP$32,42,FALSE)+VLOOKUP(B47,[2]Трансп!A$2:CP$32,65,FALSE)+VLOOKUP(B47,[2]Трансп!A$2:CP$32,77,FALSE))/1000</f>
        <v>66.037999999999997</v>
      </c>
      <c r="E47" s="13">
        <f t="shared" si="0"/>
        <v>0.15226081952815052</v>
      </c>
    </row>
    <row r="48" spans="1:5" x14ac:dyDescent="0.25">
      <c r="A48">
        <v>47</v>
      </c>
      <c r="B48" t="s">
        <v>51</v>
      </c>
      <c r="C48" s="11">
        <f>(VLOOKUP(B48,[2]Трансп!A$2:CP$32,21,FALSE)+VLOOKUP(B48,[2]Трансп!A$2:CP$32,44,FALSE)+VLOOKUP(B48,[2]Трансп!A$2:CP$32,67,FALSE)+VLOOKUP(B48,[2]Трансп!A$2:CP$32,79,FALSE))/1000</f>
        <v>639.45100000000002</v>
      </c>
      <c r="D48" s="11">
        <f>(VLOOKUP(B48,[2]Трансп!A$2:CP$32,19,FALSE)+VLOOKUP(B48,[2]Трансп!A$2:CP$32,42,FALSE)+VLOOKUP(B48,[2]Трансп!A$2:CP$32,65,FALSE)+VLOOKUP(B48,[2]Трансп!A$2:CP$32,77,FALSE))/1000</f>
        <v>216.21700000000001</v>
      </c>
      <c r="E48" s="13">
        <f t="shared" si="0"/>
        <v>1.9574501542431908</v>
      </c>
    </row>
    <row r="49" spans="1:5" x14ac:dyDescent="0.25">
      <c r="A49">
        <v>48</v>
      </c>
      <c r="B49" t="s">
        <v>52</v>
      </c>
      <c r="C49" s="11">
        <f>(VLOOKUP(B49,[2]Трансп!A$2:CP$32,21,FALSE)+VLOOKUP(B49,[2]Трансп!A$2:CP$32,44,FALSE)+VLOOKUP(B49,[2]Трансп!A$2:CP$32,67,FALSE)+VLOOKUP(B49,[2]Трансп!A$2:CP$32,79,FALSE))/1000</f>
        <v>133.37200000000001</v>
      </c>
      <c r="D49" s="11">
        <f>(VLOOKUP(B49,[2]Трансп!A$2:CP$32,19,FALSE)+VLOOKUP(B49,[2]Трансп!A$2:CP$32,42,FALSE)+VLOOKUP(B49,[2]Трансп!A$2:CP$32,65,FALSE)+VLOOKUP(B49,[2]Трансп!A$2:CP$32,77,FALSE))/1000</f>
        <v>80.004999999999995</v>
      </c>
      <c r="E49" s="13">
        <f t="shared" si="0"/>
        <v>0.66704580963689786</v>
      </c>
    </row>
    <row r="50" spans="1:5" x14ac:dyDescent="0.25">
      <c r="A50">
        <v>49</v>
      </c>
      <c r="B50" s="10" t="s">
        <v>53</v>
      </c>
      <c r="C50" s="11">
        <f>(VLOOKUP(B50,[2]Трансп!A$2:CP$32,21,FALSE)+VLOOKUP(B50,[2]Трансп!A$2:CP$32,44,FALSE)+VLOOKUP(B50,[2]Трансп!A$2:CP$32,67,FALSE)+VLOOKUP(B50,[2]Трансп!A$2:CP$32,79,FALSE))/1000</f>
        <v>3573.7013230915431</v>
      </c>
      <c r="D50" s="11">
        <f>(VLOOKUP(B50,[2]Трансп!A$2:CP$32,19,FALSE)+VLOOKUP(B50,[2]Трансп!A$2:CP$32,42,FALSE)+VLOOKUP(B50,[2]Трансп!A$2:CP$32,65,FALSE)+VLOOKUP(B50,[2]Трансп!A$2:CP$32,77,FALSE))/1000</f>
        <v>2192.3670000000002</v>
      </c>
      <c r="E50" s="14">
        <f t="shared" si="0"/>
        <v>0.63006527788985278</v>
      </c>
    </row>
    <row r="51" spans="1:5" x14ac:dyDescent="0.25">
      <c r="A51">
        <v>50</v>
      </c>
      <c r="B51" t="s">
        <v>54</v>
      </c>
      <c r="C51" s="11">
        <f>(VLOOKUP(B51,[2]Трансп!A$2:CP$32,21,FALSE)+VLOOKUP(B51,[2]Трансп!A$2:CP$32,44,FALSE)+VLOOKUP(B51,[2]Трансп!A$2:CP$32,67,FALSE)+VLOOKUP(B51,[2]Трансп!A$2:CP$32,79,FALSE))/1000</f>
        <v>10066.319982999999</v>
      </c>
      <c r="D51" s="11">
        <f>(VLOOKUP(B51,[2]Трансп!A$2:CP$32,19,FALSE)+VLOOKUP(B51,[2]Трансп!A$2:CP$32,42,FALSE)+VLOOKUP(B51,[2]Трансп!A$2:CP$32,65,FALSE)+VLOOKUP(B51,[2]Трансп!A$2:CP$32,77,FALSE))/1000</f>
        <v>6316.3860000000004</v>
      </c>
      <c r="E51" s="13">
        <f t="shared" si="0"/>
        <v>0.59368347390422294</v>
      </c>
    </row>
    <row r="52" spans="1:5" x14ac:dyDescent="0.25">
      <c r="A52">
        <v>51</v>
      </c>
      <c r="B52" t="s">
        <v>55</v>
      </c>
      <c r="C52" s="11">
        <f>(VLOOKUP(B52,[2]Трансп!A$2:CP$32,21,FALSE)+VLOOKUP(B52,[2]Трансп!A$2:CP$32,44,FALSE)+VLOOKUP(B52,[2]Трансп!A$2:CP$32,67,FALSE)+VLOOKUP(B52,[2]Трансп!A$2:CP$32,79,FALSE))/1000</f>
        <v>1025.796</v>
      </c>
      <c r="D52" s="11">
        <f>(VLOOKUP(B52,[2]Трансп!A$2:CP$32,19,FALSE)+VLOOKUP(B52,[2]Трансп!A$2:CP$32,42,FALSE)+VLOOKUP(B52,[2]Трансп!A$2:CP$32,65,FALSE)+VLOOKUP(B52,[2]Трансп!A$2:CP$32,77,FALSE))/1000</f>
        <v>594.11300000000006</v>
      </c>
      <c r="E52" s="13">
        <f t="shared" si="0"/>
        <v>0.72660083182828838</v>
      </c>
    </row>
    <row r="53" spans="1:5" x14ac:dyDescent="0.25">
      <c r="A53">
        <v>52</v>
      </c>
      <c r="B53" t="s">
        <v>56</v>
      </c>
      <c r="C53" s="11">
        <f>(VLOOKUP(B53,[2]Трансп!A$2:CP$32,21,FALSE)+VLOOKUP(B53,[2]Трансп!A$2:CP$32,44,FALSE)+VLOOKUP(B53,[2]Трансп!A$2:CP$32,67,FALSE)+VLOOKUP(B53,[2]Трансп!A$2:CP$32,79,FALSE))/1000</f>
        <v>3914.1521434300003</v>
      </c>
      <c r="D53" s="11">
        <f>(VLOOKUP(B53,[2]Трансп!A$2:CP$32,19,FALSE)+VLOOKUP(B53,[2]Трансп!A$2:CP$32,42,FALSE)+VLOOKUP(B53,[2]Трансп!A$2:CP$32,65,FALSE)+VLOOKUP(B53,[2]Трансп!A$2:CP$32,77,FALSE))/1000</f>
        <v>3366.7588318099997</v>
      </c>
      <c r="E53" s="13">
        <f t="shared" si="0"/>
        <v>0.16258762179461406</v>
      </c>
    </row>
    <row r="54" spans="1:5" x14ac:dyDescent="0.25">
      <c r="A54">
        <v>53</v>
      </c>
      <c r="B54" t="s">
        <v>57</v>
      </c>
      <c r="C54" s="11">
        <f>(VLOOKUP(B54,[2]Трансп!A$2:CP$32,21,FALSE)+VLOOKUP(B54,[2]Трансп!A$2:CP$32,44,FALSE)+VLOOKUP(B54,[2]Трансп!A$2:CP$32,67,FALSE)+VLOOKUP(B54,[2]Трансп!A$2:CP$32,79,FALSE))/1000</f>
        <v>1089.1989739999999</v>
      </c>
      <c r="D54" s="11">
        <f>(VLOOKUP(B54,[2]Трансп!A$2:CP$32,19,FALSE)+VLOOKUP(B54,[2]Трансп!A$2:CP$32,42,FALSE)+VLOOKUP(B54,[2]Трансп!A$2:CP$32,65,FALSE)+VLOOKUP(B54,[2]Трансп!A$2:CP$32,77,FALSE))/1000</f>
        <v>207.953</v>
      </c>
      <c r="E54" s="13">
        <f t="shared" si="0"/>
        <v>4.2377170514491249</v>
      </c>
    </row>
    <row r="55" spans="1:5" x14ac:dyDescent="0.25">
      <c r="A55">
        <v>54</v>
      </c>
      <c r="B55" t="s">
        <v>58</v>
      </c>
      <c r="C55" s="11">
        <f>(VLOOKUP(B55,[2]Трансп!A$2:CP$32,21,FALSE)+VLOOKUP(B55,[2]Трансп!A$2:CP$32,44,FALSE)+VLOOKUP(B55,[2]Трансп!A$2:CP$32,67,FALSE)+VLOOKUP(B55,[2]Трансп!A$2:CP$32,79,FALSE))/1000</f>
        <v>237.07499999999999</v>
      </c>
      <c r="D55" s="11">
        <f>(VLOOKUP(B55,[2]Трансп!A$2:CP$32,19,FALSE)+VLOOKUP(B55,[2]Трансп!A$2:CP$32,42,FALSE)+VLOOKUP(B55,[2]Трансп!A$2:CP$32,65,FALSE)+VLOOKUP(B55,[2]Трансп!A$2:CP$32,77,FALSE))/1000</f>
        <v>202.20099999999999</v>
      </c>
      <c r="E55" s="13">
        <f t="shared" si="0"/>
        <v>0.17247194623171991</v>
      </c>
    </row>
    <row r="56" spans="1:5" x14ac:dyDescent="0.25">
      <c r="A56">
        <v>55</v>
      </c>
      <c r="B56" t="s">
        <v>59</v>
      </c>
      <c r="C56" s="11">
        <f>(VLOOKUP(B56,[2]Трансп!A$2:CP$32,21,FALSE)+VLOOKUP(B56,[2]Трансп!A$2:CP$32,44,FALSE)+VLOOKUP(B56,[2]Трансп!A$2:CP$32,67,FALSE)+VLOOKUP(B56,[2]Трансп!A$2:CP$32,79,FALSE))/1000</f>
        <v>1926.5989999999999</v>
      </c>
      <c r="D56" s="11">
        <f>(VLOOKUP(B56,[2]Трансп!A$2:CP$32,19,FALSE)+VLOOKUP(B56,[2]Трансп!A$2:CP$32,42,FALSE)+VLOOKUP(B56,[2]Трансп!A$2:CP$32,65,FALSE)+VLOOKUP(B56,[2]Трансп!A$2:CP$32,77,FALSE))/1000</f>
        <v>1456.356</v>
      </c>
      <c r="E56" s="13">
        <f t="shared" si="0"/>
        <v>0.32289014499202118</v>
      </c>
    </row>
    <row r="57" spans="1:5" x14ac:dyDescent="0.25">
      <c r="A57">
        <v>56</v>
      </c>
      <c r="B57" t="s">
        <v>60</v>
      </c>
      <c r="C57" s="11">
        <f>(VLOOKUP(B57,[2]Трансп!A$2:CP$32,21,FALSE)+VLOOKUP(B57,[2]Трансп!A$2:CP$32,44,FALSE)+VLOOKUP(B57,[2]Трансп!A$2:CP$32,67,FALSE)+VLOOKUP(B57,[2]Трансп!A$2:CP$32,79,FALSE))/1000</f>
        <v>4960.1229999999996</v>
      </c>
      <c r="D57" s="11">
        <f>(VLOOKUP(B57,[2]Трансп!A$2:CP$32,19,FALSE)+VLOOKUP(B57,[2]Трансп!A$2:CP$32,42,FALSE)+VLOOKUP(B57,[2]Трансп!A$2:CP$32,65,FALSE)+VLOOKUP(B57,[2]Трансп!A$2:CP$32,77,FALSE))/1000</f>
        <v>4330.527</v>
      </c>
      <c r="E57" s="13">
        <f t="shared" si="0"/>
        <v>0.145385538526835</v>
      </c>
    </row>
    <row r="58" spans="1:5" x14ac:dyDescent="0.25">
      <c r="A58">
        <v>57</v>
      </c>
      <c r="B58" t="s">
        <v>86</v>
      </c>
      <c r="C58" s="11">
        <f>(VLOOKUP(B58,[2]Трансп!A$2:CP$32,21,FALSE)+VLOOKUP(B58,[2]Трансп!A$2:CP$32,44,FALSE)+VLOOKUP(B58,[2]Трансп!A$2:CP$32,67,FALSE)+VLOOKUP(B58,[2]Трансп!A$2:CP$32,79,FALSE))/1000</f>
        <v>6977.7019130000008</v>
      </c>
      <c r="D58" s="11">
        <f>(VLOOKUP(B58,[2]Трансп!A$2:CP$32,19,FALSE)+VLOOKUP(B58,[2]Трансп!A$2:CP$32,42,FALSE)+VLOOKUP(B58,[2]Трансп!A$2:CP$32,65,FALSE)+VLOOKUP(B58,[2]Трансп!A$2:CP$32,77,FALSE))/1000</f>
        <v>5786.2709999999997</v>
      </c>
      <c r="E58" s="13">
        <f t="shared" si="0"/>
        <v>0.20590651785925695</v>
      </c>
    </row>
    <row r="59" spans="1:5" x14ac:dyDescent="0.25">
      <c r="A59">
        <v>58</v>
      </c>
      <c r="B59" t="s">
        <v>61</v>
      </c>
      <c r="C59" s="11">
        <f>(VLOOKUP(B59,[2]Трансп!A$2:CP$32,21,FALSE)+VLOOKUP(B59,[2]Трансп!A$2:CP$32,44,FALSE)+VLOOKUP(B59,[2]Трансп!A$2:CP$32,67,FALSE)+VLOOKUP(B59,[2]Трансп!A$2:CP$32,79,FALSE))/1000</f>
        <v>204.768</v>
      </c>
      <c r="D59" s="11">
        <f>(VLOOKUP(B59,[2]Трансп!A$2:CP$32,19,FALSE)+VLOOKUP(B59,[2]Трансп!A$2:CP$32,42,FALSE)+VLOOKUP(B59,[2]Трансп!A$2:CP$32,65,FALSE)+VLOOKUP(B59,[2]Трансп!A$2:CP$32,77,FALSE))/1000</f>
        <v>163.08199999999999</v>
      </c>
      <c r="E59" s="13">
        <f t="shared" si="0"/>
        <v>0.25561374032695205</v>
      </c>
    </row>
    <row r="60" spans="1:5" x14ac:dyDescent="0.25">
      <c r="A60">
        <v>59</v>
      </c>
      <c r="B60" t="s">
        <v>62</v>
      </c>
      <c r="C60" s="11">
        <f>(VLOOKUP(B60,[2]Трансп!A$2:CP$32,21,FALSE)+VLOOKUP(B60,[2]Трансп!A$2:CP$32,44,FALSE)+VLOOKUP(B60,[2]Трансп!A$2:CP$32,67,FALSE)+VLOOKUP(B60,[2]Трансп!A$2:CP$32,79,FALSE))/1000</f>
        <v>877.99699999999996</v>
      </c>
      <c r="D60" s="11">
        <f>(VLOOKUP(B60,[2]Трансп!A$2:CP$32,19,FALSE)+VLOOKUP(B60,[2]Трансп!A$2:CP$32,42,FALSE)+VLOOKUP(B60,[2]Трансп!A$2:CP$32,65,FALSE)+VLOOKUP(B60,[2]Трансп!A$2:CP$32,77,FALSE))/1000</f>
        <v>785.33900000000006</v>
      </c>
      <c r="E60" s="13">
        <f t="shared" si="0"/>
        <v>0.1179847174277604</v>
      </c>
    </row>
    <row r="61" spans="1:5" x14ac:dyDescent="0.25">
      <c r="A61">
        <v>60</v>
      </c>
      <c r="B61" t="s">
        <v>63</v>
      </c>
      <c r="C61" s="11">
        <f>(VLOOKUP(B61,[2]Трансп!A$2:CP$32,21,FALSE)+VLOOKUP(B61,[2]Трансп!A$2:CP$32,44,FALSE)+VLOOKUP(B61,[2]Трансп!A$2:CP$32,67,FALSE)+VLOOKUP(B61,[2]Трансп!A$2:CP$32,79,FALSE))/1000</f>
        <v>1144.913</v>
      </c>
      <c r="D61" s="11">
        <f>(VLOOKUP(B61,[2]Трансп!A$2:CP$32,19,FALSE)+VLOOKUP(B61,[2]Трансп!A$2:CP$32,42,FALSE)+VLOOKUP(B61,[2]Трансп!A$2:CP$32,65,FALSE)+VLOOKUP(B61,[2]Трансп!A$2:CP$32,77,FALSE))/1000</f>
        <v>1313.373</v>
      </c>
      <c r="E61" s="13">
        <f t="shared" si="0"/>
        <v>-0.12826516153446132</v>
      </c>
    </row>
    <row r="62" spans="1:5" x14ac:dyDescent="0.25">
      <c r="A62">
        <v>61</v>
      </c>
      <c r="B62" t="s">
        <v>64</v>
      </c>
      <c r="C62" s="11">
        <f>(VLOOKUP(B62,[2]Трансп!A$2:CP$32,21,FALSE)+VLOOKUP(B62,[2]Трансп!A$2:CP$32,44,FALSE)+VLOOKUP(B62,[2]Трансп!A$2:CP$32,67,FALSE)+VLOOKUP(B62,[2]Трансп!A$2:CP$32,79,FALSE))/1000</f>
        <v>2335.0509999999999</v>
      </c>
      <c r="D62" s="11">
        <f>(VLOOKUP(B62,[2]Трансп!A$2:CP$32,19,FALSE)+VLOOKUP(B62,[2]Трансп!A$2:CP$32,42,FALSE)+VLOOKUP(B62,[2]Трансп!A$2:CP$32,65,FALSE)+VLOOKUP(B62,[2]Трансп!A$2:CP$32,77,FALSE))/1000</f>
        <v>1508.027</v>
      </c>
      <c r="E62" s="13">
        <f t="shared" si="0"/>
        <v>0.54841458408901156</v>
      </c>
    </row>
    <row r="63" spans="1:5" x14ac:dyDescent="0.25">
      <c r="A63">
        <v>62</v>
      </c>
      <c r="B63" t="s">
        <v>65</v>
      </c>
      <c r="C63" s="11">
        <f>(VLOOKUP(B63,[2]Трансп!A$2:CP$32,21,FALSE)+VLOOKUP(B63,[2]Трансп!A$2:CP$32,44,FALSE)+VLOOKUP(B63,[2]Трансп!A$2:CP$32,67,FALSE)+VLOOKUP(B63,[2]Трансп!A$2:CP$32,79,FALSE))/1000</f>
        <v>7145.1369999999997</v>
      </c>
      <c r="D63" s="11">
        <f>(VLOOKUP(B63,[2]Трансп!A$2:CP$32,19,FALSE)+VLOOKUP(B63,[2]Трансп!A$2:CP$32,42,FALSE)+VLOOKUP(B63,[2]Трансп!A$2:CP$32,65,FALSE)+VLOOKUP(B63,[2]Трансп!A$2:CP$32,77,FALSE))/1000</f>
        <v>3699.5610000000001</v>
      </c>
      <c r="E63" s="13">
        <f t="shared" si="0"/>
        <v>0.93134725985056055</v>
      </c>
    </row>
    <row r="64" spans="1:5" x14ac:dyDescent="0.25">
      <c r="A64">
        <v>63</v>
      </c>
      <c r="B64" t="s">
        <v>66</v>
      </c>
      <c r="C64" s="11">
        <f>(VLOOKUP(B64,[2]Трансп!A$2:CP$32,21,FALSE)+VLOOKUP(B64,[2]Трансп!A$2:CP$32,44,FALSE)+VLOOKUP(B64,[2]Трансп!A$2:CP$32,67,FALSE)+VLOOKUP(B64,[2]Трансп!A$2:CP$32,79,FALSE))/1000</f>
        <v>1226.2760000000001</v>
      </c>
      <c r="D64" s="11">
        <f>(VLOOKUP(B64,[2]Трансп!A$2:CP$32,19,FALSE)+VLOOKUP(B64,[2]Трансп!A$2:CP$32,42,FALSE)+VLOOKUP(B64,[2]Трансп!A$2:CP$32,65,FALSE)+VLOOKUP(B64,[2]Трансп!A$2:CP$32,77,FALSE))/1000</f>
        <v>897.06299999999999</v>
      </c>
      <c r="E64" s="13">
        <f t="shared" si="0"/>
        <v>0.36698983237520677</v>
      </c>
    </row>
    <row r="65" spans="1:5" x14ac:dyDescent="0.25">
      <c r="A65">
        <v>64</v>
      </c>
      <c r="B65" t="s">
        <v>67</v>
      </c>
      <c r="C65" s="11">
        <f>(VLOOKUP(B65,[2]Трансп!A$2:CP$32,21,FALSE)+VLOOKUP(B65,[2]Трансп!A$2:CP$32,44,FALSE)+VLOOKUP(B65,[2]Трансп!A$2:CP$32,67,FALSE)+VLOOKUP(B65,[2]Трансп!A$2:CP$32,79,FALSE))/1000</f>
        <v>426.6</v>
      </c>
      <c r="D65" s="11">
        <f>(VLOOKUP(B65,[2]Трансп!A$2:CP$32,19,FALSE)+VLOOKUP(B65,[2]Трансп!A$2:CP$32,42,FALSE)+VLOOKUP(B65,[2]Трансп!A$2:CP$32,65,FALSE)+VLOOKUP(B65,[2]Трансп!A$2:CP$32,77,FALSE))/1000</f>
        <v>624.48400000000004</v>
      </c>
      <c r="E65" s="13">
        <f t="shared" si="0"/>
        <v>-0.3168760128361976</v>
      </c>
    </row>
    <row r="66" spans="1:5" x14ac:dyDescent="0.25">
      <c r="A66">
        <v>65</v>
      </c>
      <c r="B66" t="s">
        <v>68</v>
      </c>
      <c r="C66" s="11">
        <f>(VLOOKUP(B66,[2]Трансп!A$2:CP$32,21,FALSE)+VLOOKUP(B66,[2]Трансп!A$2:CP$32,44,FALSE)+VLOOKUP(B66,[2]Трансп!A$2:CP$32,67,FALSE)+VLOOKUP(B66,[2]Трансп!A$2:CP$32,79,FALSE))/1000</f>
        <v>5391.7275826650948</v>
      </c>
      <c r="D66" s="11">
        <f>(VLOOKUP(B66,[2]Трансп!A$2:CP$32,19,FALSE)+VLOOKUP(B66,[2]Трансп!A$2:CP$32,42,FALSE)+VLOOKUP(B66,[2]Трансп!A$2:CP$32,65,FALSE)+VLOOKUP(B66,[2]Трансп!A$2:CP$32,77,FALSE))/1000</f>
        <v>3614.3752050249977</v>
      </c>
      <c r="E66" s="13">
        <f t="shared" si="0"/>
        <v>0.49174539908559511</v>
      </c>
    </row>
    <row r="67" spans="1:5" x14ac:dyDescent="0.25">
      <c r="A67">
        <v>66</v>
      </c>
      <c r="B67" t="s">
        <v>69</v>
      </c>
      <c r="C67" s="11">
        <f>(VLOOKUP(B67,[2]Трансп!A$2:CP$32,21,FALSE)+VLOOKUP(B67,[2]Трансп!A$2:CP$32,44,FALSE)+VLOOKUP(B67,[2]Трансп!A$2:CP$32,67,FALSE)+VLOOKUP(B67,[2]Трансп!A$2:CP$32,79,FALSE))/1000</f>
        <v>3513.4470000000001</v>
      </c>
      <c r="D67" s="11">
        <f>(VLOOKUP(B67,[2]Трансп!A$2:CP$32,19,FALSE)+VLOOKUP(B67,[2]Трансп!A$2:CP$32,42,FALSE)+VLOOKUP(B67,[2]Трансп!A$2:CP$32,65,FALSE)+VLOOKUP(B67,[2]Трансп!A$2:CP$32,77,FALSE))/1000</f>
        <v>1738.7339999999999</v>
      </c>
      <c r="E67" s="13">
        <f t="shared" ref="E67" si="1">C67/D67-1</f>
        <v>1.0206926418877185</v>
      </c>
    </row>
    <row r="68" spans="1:5" x14ac:dyDescent="0.25">
      <c r="B68" t="s">
        <v>99</v>
      </c>
      <c r="C68" s="11">
        <f>VLOOKUP(B68,[1]Трансп!A$3:U$39,10,FALSE)/1000</f>
        <v>296.91773000000001</v>
      </c>
      <c r="D68" s="11">
        <v>0</v>
      </c>
      <c r="E68" s="35" t="s">
        <v>100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13180-80C1-4A53-A670-FA8FDCFE41D5}">
  <sheetPr>
    <tabColor rgb="FFFFFF00"/>
  </sheetPr>
  <dimension ref="A1:K27"/>
  <sheetViews>
    <sheetView workbookViewId="0">
      <selection activeCell="A26" sqref="A26"/>
    </sheetView>
  </sheetViews>
  <sheetFormatPr defaultRowHeight="15" x14ac:dyDescent="0.25"/>
  <cols>
    <col min="2" max="2" width="50.7109375" customWidth="1"/>
    <col min="11" max="11" width="12" style="63" customWidth="1"/>
  </cols>
  <sheetData>
    <row r="1" spans="1:11" x14ac:dyDescent="0.25">
      <c r="A1" t="s">
        <v>107</v>
      </c>
      <c r="B1" s="7"/>
      <c r="C1" s="8"/>
      <c r="D1" s="8"/>
      <c r="E1" s="8"/>
      <c r="F1" s="8"/>
      <c r="G1" s="8"/>
      <c r="H1" s="8"/>
      <c r="I1" s="8"/>
      <c r="J1" s="8"/>
    </row>
    <row r="2" spans="1:11" s="38" customFormat="1" x14ac:dyDescent="0.25">
      <c r="A2" s="98" t="s">
        <v>2</v>
      </c>
      <c r="B2" s="98" t="s">
        <v>0</v>
      </c>
      <c r="C2" s="99" t="s">
        <v>87</v>
      </c>
      <c r="D2" s="100"/>
      <c r="E2" s="101"/>
      <c r="F2" s="99" t="s">
        <v>77</v>
      </c>
      <c r="G2" s="100"/>
      <c r="H2" s="101"/>
      <c r="I2" s="97" t="s">
        <v>78</v>
      </c>
      <c r="J2" s="97" t="s">
        <v>103</v>
      </c>
      <c r="K2" s="63"/>
    </row>
    <row r="3" spans="1:11" ht="56.25" x14ac:dyDescent="0.25">
      <c r="A3" s="98"/>
      <c r="B3" s="98"/>
      <c r="C3" s="39" t="s">
        <v>104</v>
      </c>
      <c r="D3" s="1" t="s">
        <v>105</v>
      </c>
      <c r="E3" s="1" t="s">
        <v>106</v>
      </c>
      <c r="F3" s="39" t="s">
        <v>104</v>
      </c>
      <c r="G3" s="1" t="s">
        <v>105</v>
      </c>
      <c r="H3" s="1" t="s">
        <v>106</v>
      </c>
      <c r="I3" s="97"/>
      <c r="J3" s="97"/>
      <c r="K3" s="66"/>
    </row>
    <row r="4" spans="1:11" x14ac:dyDescent="0.25">
      <c r="A4" s="74">
        <v>1</v>
      </c>
      <c r="B4" s="73" t="s">
        <v>86</v>
      </c>
      <c r="C4" s="20">
        <f>VLOOKUP(B4,[2]Трансп!A$2:CP$32,44,FALSE)/1000</f>
        <v>5880.0456200000008</v>
      </c>
      <c r="D4" s="94">
        <v>3355</v>
      </c>
      <c r="E4" s="20">
        <f>VLOOKUP(B4,[2]Трансп!A$2:CP$32,51,FALSE)/1000</f>
        <v>2797.3061339999999</v>
      </c>
      <c r="F4" s="20">
        <f>VLOOKUP(B4,[2]Трансп!A$2:CP$32,42,FALSE)/1000</f>
        <v>5465.393</v>
      </c>
      <c r="G4" s="20">
        <f>VLOOKUP(B4,[2]Трансп!A$2:CP$32,46,FALSE)/1000</f>
        <v>2447.84</v>
      </c>
      <c r="H4" s="20">
        <f>VLOOKUP(B4,[2]Трансп!A$2:CP$32,49,FALSE)/1000</f>
        <v>1647.2539999999999</v>
      </c>
      <c r="I4" s="30">
        <f>(C4/F4-1)*100</f>
        <v>7.5868765521527992</v>
      </c>
      <c r="J4" s="30">
        <f>(D4/G4-1)*100</f>
        <v>37.05961173932937</v>
      </c>
      <c r="K4" s="63" t="s">
        <v>145</v>
      </c>
    </row>
    <row r="5" spans="1:11" x14ac:dyDescent="0.25">
      <c r="A5" s="74">
        <v>2</v>
      </c>
      <c r="B5" s="73" t="s">
        <v>68</v>
      </c>
      <c r="C5" s="20">
        <f>VLOOKUP(B5,[2]Трансп!A$2:CP$32,44,FALSE)/1000</f>
        <v>5349.1577436600955</v>
      </c>
      <c r="D5" s="94">
        <v>2601.373</v>
      </c>
      <c r="E5" s="94">
        <v>2127.6280000000002</v>
      </c>
      <c r="F5" s="20">
        <f>VLOOKUP(B5,[2]Трансп!A$2:CP$32,42,FALSE)/1000</f>
        <v>3588.5898648299976</v>
      </c>
      <c r="G5" s="20">
        <f>VLOOKUP(B5,[2]Трансп!A$2:CP$32,46,FALSE)/1000</f>
        <v>1169.8898251500007</v>
      </c>
      <c r="H5" s="20">
        <f>VLOOKUP(B5,[2]Трансп!A$2:CP$32,49,FALSE)/1000</f>
        <v>925.85934076000046</v>
      </c>
      <c r="I5" s="30">
        <f t="shared" ref="I5:I23" si="0">(C5/F5-1)*100</f>
        <v>49.060158589995396</v>
      </c>
      <c r="J5" s="30">
        <f t="shared" ref="J5:J23" si="1">(D5/G5-1)*100</f>
        <v>122.36051156923753</v>
      </c>
      <c r="K5" s="63" t="s">
        <v>168</v>
      </c>
    </row>
    <row r="6" spans="1:11" x14ac:dyDescent="0.25">
      <c r="A6" s="74">
        <v>3</v>
      </c>
      <c r="B6" s="73" t="s">
        <v>56</v>
      </c>
      <c r="C6" s="20">
        <f>VLOOKUP(B6,[2]Трансп!A$2:CP$32,44,FALSE)/1000</f>
        <v>3914.1521434300003</v>
      </c>
      <c r="D6" s="20">
        <f>VLOOKUP(B6,[2]Трансп!A$2:CP$32,48,FALSE)/1000</f>
        <v>2709.0880325200001</v>
      </c>
      <c r="E6" s="20">
        <f>VLOOKUP(B6,[2]Трансп!A$2:CP$32,51,FALSE)/1000</f>
        <v>2504.1206226200002</v>
      </c>
      <c r="F6" s="20">
        <f>VLOOKUP(B6,[2]Трансп!A$2:CP$32,42,FALSE)/1000</f>
        <v>3366.7588318099997</v>
      </c>
      <c r="G6" s="20">
        <f>VLOOKUP(B6,[2]Трансп!A$2:CP$32,46,FALSE)/1000</f>
        <v>2292.4524213700001</v>
      </c>
      <c r="H6" s="20">
        <f>VLOOKUP(B6,[2]Трансп!A$2:CP$32,49,FALSE)/1000</f>
        <v>2283.0593622800002</v>
      </c>
      <c r="I6" s="30">
        <f t="shared" si="0"/>
        <v>16.258762179461407</v>
      </c>
      <c r="J6" s="30">
        <f t="shared" si="1"/>
        <v>18.174231546363483</v>
      </c>
      <c r="K6" s="63">
        <v>7730634468</v>
      </c>
    </row>
    <row r="7" spans="1:11" x14ac:dyDescent="0.25">
      <c r="A7" s="74">
        <v>4</v>
      </c>
      <c r="B7" s="73" t="s">
        <v>60</v>
      </c>
      <c r="C7" s="20">
        <f>VLOOKUP(B7,[2]Трансп!A$2:CP$32,44,FALSE)/1000</f>
        <v>2981.1030000000001</v>
      </c>
      <c r="D7" s="20">
        <f>VLOOKUP(B7,[2]Трансп!A$2:CP$32,48,FALSE)/1000</f>
        <v>2599.3409999999999</v>
      </c>
      <c r="E7" s="20">
        <f>VLOOKUP(B7,[2]Трансп!A$2:CP$32,51,FALSE)/1000</f>
        <v>2049.944</v>
      </c>
      <c r="F7" s="20">
        <f>VLOOKUP(B7,[2]Трансп!A$2:CP$32,42,FALSE)/1000</f>
        <v>1340.9169999999999</v>
      </c>
      <c r="G7" s="20">
        <f>VLOOKUP(B7,[2]Трансп!A$2:CP$32,46,FALSE)/1000</f>
        <v>691.45799999999997</v>
      </c>
      <c r="H7" s="20">
        <f>VLOOKUP(B7,[2]Трансп!A$2:CP$32,49,FALSE)/1000</f>
        <v>616.53300000000002</v>
      </c>
      <c r="I7" s="30">
        <f t="shared" si="0"/>
        <v>122.31823446193913</v>
      </c>
      <c r="J7" s="30">
        <f t="shared" si="1"/>
        <v>275.92174795866129</v>
      </c>
      <c r="K7" s="63">
        <v>7704784072</v>
      </c>
    </row>
    <row r="8" spans="1:11" x14ac:dyDescent="0.25">
      <c r="A8" s="74">
        <v>5</v>
      </c>
      <c r="B8" s="73" t="s">
        <v>108</v>
      </c>
      <c r="C8" s="20">
        <f>VLOOKUP(B8,[2]Трансп!A$2:CP$32,44,FALSE)/1000</f>
        <v>2964.7429566215474</v>
      </c>
      <c r="D8" s="20">
        <f>VLOOKUP(B8,[2]Трансп!A$2:CP$32,48,FALSE)/1000</f>
        <v>1753.2763192502305</v>
      </c>
      <c r="E8" s="20">
        <f>VLOOKUP(B8,[2]Трансп!A$2:CP$32,51,FALSE)/1000</f>
        <v>1504.669382500239</v>
      </c>
      <c r="F8" s="20">
        <f>VLOOKUP(B8,[2]Трансп!A$2:CP$32,42,FALSE)/1000</f>
        <v>1636.588</v>
      </c>
      <c r="G8" s="20">
        <f>VLOOKUP(B8,[2]Трансп!A$2:CP$32,46,FALSE)/1000</f>
        <v>1221.615</v>
      </c>
      <c r="H8" s="20">
        <f>VLOOKUP(B8,[2]Трансп!A$2:CP$32,49,FALSE)/1000</f>
        <v>920.28700000000003</v>
      </c>
      <c r="I8" s="30">
        <f t="shared" si="0"/>
        <v>81.153898025743047</v>
      </c>
      <c r="J8" s="30">
        <f t="shared" si="1"/>
        <v>43.521184599913276</v>
      </c>
      <c r="K8" s="63" t="s">
        <v>149</v>
      </c>
    </row>
    <row r="9" spans="1:11" x14ac:dyDescent="0.25">
      <c r="A9" s="74">
        <v>6</v>
      </c>
      <c r="B9" s="73" t="s">
        <v>46</v>
      </c>
      <c r="C9" s="20">
        <f>VLOOKUP(B9,[2]Трансп!A$2:CP$32,44,FALSE)/1000</f>
        <v>2839.2719999999999</v>
      </c>
      <c r="D9" s="20">
        <f>VLOOKUP(B9,[2]Трансп!A$2:CP$32,48,FALSE)/1000</f>
        <v>1330.4739999999999</v>
      </c>
      <c r="E9" s="20">
        <f>VLOOKUP(B9,[2]Трансп!A$2:CP$32,51,FALSE)/1000</f>
        <v>1238.058</v>
      </c>
      <c r="F9" s="20">
        <f>VLOOKUP(B9,[2]Трансп!A$2:CP$32,42,FALSE)/1000</f>
        <v>2345.5500000000002</v>
      </c>
      <c r="G9" s="20">
        <f>VLOOKUP(B9,[2]Трансп!A$2:CP$32,46,FALSE)/1000</f>
        <v>1273.9559999999999</v>
      </c>
      <c r="H9" s="20">
        <f>VLOOKUP(B9,[2]Трансп!A$2:CP$32,49,FALSE)/1000</f>
        <v>1065.7090000000001</v>
      </c>
      <c r="I9" s="30">
        <f t="shared" si="0"/>
        <v>21.049306132889932</v>
      </c>
      <c r="J9" s="30">
        <f t="shared" si="1"/>
        <v>4.4364169563156031</v>
      </c>
      <c r="K9" s="63">
        <v>5410059568</v>
      </c>
    </row>
    <row r="10" spans="1:11" x14ac:dyDescent="0.25">
      <c r="A10" s="74">
        <v>7</v>
      </c>
      <c r="B10" s="73" t="s">
        <v>109</v>
      </c>
      <c r="C10" s="20">
        <f>VLOOKUP(B10,[2]Трансп!A$2:CP$32,44,FALSE)/1000</f>
        <v>1913.9259999999999</v>
      </c>
      <c r="D10" s="20">
        <f>VLOOKUP(B10,[2]Трансп!A$2:CP$32,48,FALSE)/1000</f>
        <v>897.77700000000004</v>
      </c>
      <c r="E10" s="20">
        <f>VLOOKUP(B10,[2]Трансп!A$2:CP$32,51,FALSE)/1000</f>
        <v>680.64300000000003</v>
      </c>
      <c r="F10" s="20">
        <f>VLOOKUP(B10,[2]Трансп!A$2:CP$32,42,FALSE)/1000</f>
        <v>820.79899999999998</v>
      </c>
      <c r="G10" s="20">
        <f>VLOOKUP(B10,[2]Трансп!A$2:CP$32,46,FALSE)/1000</f>
        <v>377.06799999999998</v>
      </c>
      <c r="H10" s="20">
        <f>VLOOKUP(B10,[2]Трансп!A$2:CP$32,49,FALSE)/1000</f>
        <v>361.18200000000002</v>
      </c>
      <c r="I10" s="30">
        <f t="shared" si="0"/>
        <v>133.17840299513034</v>
      </c>
      <c r="J10" s="30">
        <f t="shared" si="1"/>
        <v>138.09418990739073</v>
      </c>
      <c r="K10" s="63" t="s">
        <v>146</v>
      </c>
    </row>
    <row r="11" spans="1:11" x14ac:dyDescent="0.25">
      <c r="A11" s="74">
        <v>8</v>
      </c>
      <c r="B11" s="73" t="s">
        <v>42</v>
      </c>
      <c r="C11" s="20">
        <f>VLOOKUP(B11,[2]Трансп!A$2:CP$32,44,FALSE)/1000</f>
        <v>1911.018</v>
      </c>
      <c r="D11" s="20">
        <f>VLOOKUP(B11,[2]Трансп!A$2:CP$32,48,FALSE)/1000</f>
        <v>1017.966</v>
      </c>
      <c r="E11" s="20">
        <f>VLOOKUP(B11,[2]Трансп!A$2:CP$32,51,FALSE)/1000</f>
        <v>832.90300000000002</v>
      </c>
      <c r="F11" s="20">
        <f>VLOOKUP(B11,[2]Трансп!A$2:CP$32,42,FALSE)/1000</f>
        <v>1086.204</v>
      </c>
      <c r="G11" s="20">
        <f>VLOOKUP(B11,[2]Трансп!A$2:CP$32,46,FALSE)/1000</f>
        <v>606.50199999999995</v>
      </c>
      <c r="H11" s="20">
        <f>VLOOKUP(B11,[2]Трансп!A$2:CP$32,49,FALSE)/1000</f>
        <v>390.57100000000003</v>
      </c>
      <c r="I11" s="30">
        <f t="shared" si="0"/>
        <v>75.935459637416187</v>
      </c>
      <c r="J11" s="30">
        <f t="shared" si="1"/>
        <v>67.842150561745896</v>
      </c>
      <c r="K11" s="63" t="s">
        <v>148</v>
      </c>
    </row>
    <row r="12" spans="1:11" x14ac:dyDescent="0.25">
      <c r="A12" s="74">
        <v>9</v>
      </c>
      <c r="B12" s="73" t="s">
        <v>69</v>
      </c>
      <c r="C12" s="20">
        <f>VLOOKUP(B12,[2]Трансп!A$2:CP$32,44,FALSE)/1000</f>
        <v>1795.885</v>
      </c>
      <c r="D12" s="20">
        <f>VLOOKUP(B12,[2]Трансп!A$2:CP$32,48,FALSE)/1000</f>
        <v>1014.682</v>
      </c>
      <c r="E12" s="20">
        <f>VLOOKUP(B12,[2]Трансп!A$2:CP$32,51,FALSE)/1000</f>
        <v>768.4</v>
      </c>
      <c r="F12" s="20">
        <f>VLOOKUP(B12,[2]Трансп!A$2:CP$32,42,FALSE)/1000</f>
        <v>1452.174</v>
      </c>
      <c r="G12" s="20">
        <f>VLOOKUP(B12,[2]Трансп!A$2:CP$32,46,FALSE)/1000</f>
        <v>653.64700000000005</v>
      </c>
      <c r="H12" s="20">
        <f>VLOOKUP(B12,[2]Трансп!A$2:CP$32,49,FALSE)/1000</f>
        <v>477.52499999999998</v>
      </c>
      <c r="I12" s="30">
        <f t="shared" si="0"/>
        <v>23.6687201395976</v>
      </c>
      <c r="J12" s="30">
        <f t="shared" si="1"/>
        <v>55.233941255754246</v>
      </c>
      <c r="K12" s="63">
        <v>7716748537</v>
      </c>
    </row>
    <row r="13" spans="1:11" x14ac:dyDescent="0.25">
      <c r="A13" s="74">
        <v>10</v>
      </c>
      <c r="B13" s="73" t="s">
        <v>59</v>
      </c>
      <c r="C13" s="20">
        <f>VLOOKUP(B13,[2]Трансп!A$2:CP$32,44,FALSE)/1000</f>
        <v>1191.9970000000001</v>
      </c>
      <c r="D13" s="20">
        <f>VLOOKUP(B13,[2]Трансп!A$2:CP$32,48,FALSE)/1000</f>
        <v>675.23299999999995</v>
      </c>
      <c r="E13" s="20">
        <f>VLOOKUP(B13,[2]Трансп!A$2:CP$32,51,FALSE)/1000</f>
        <v>539.423</v>
      </c>
      <c r="F13" s="20">
        <f>VLOOKUP(B13,[2]Трансп!A$2:CP$32,42,FALSE)/1000</f>
        <v>700.44100000000003</v>
      </c>
      <c r="G13" s="20">
        <f>VLOOKUP(B13,[2]Трансп!A$2:CP$32,46,FALSE)/1000</f>
        <v>304.97000000000003</v>
      </c>
      <c r="H13" s="20">
        <f>VLOOKUP(B13,[2]Трансп!A$2:CP$32,49,FALSE)/1000</f>
        <v>217.23</v>
      </c>
      <c r="I13" s="30">
        <f t="shared" si="0"/>
        <v>70.178073527963107</v>
      </c>
      <c r="J13" s="30">
        <f t="shared" si="1"/>
        <v>121.40964685050983</v>
      </c>
      <c r="K13" s="63">
        <v>7724889891</v>
      </c>
    </row>
    <row r="14" spans="1:11" x14ac:dyDescent="0.25">
      <c r="A14" s="74">
        <v>11</v>
      </c>
      <c r="B14" s="73" t="s">
        <v>96</v>
      </c>
      <c r="C14" s="20">
        <f>VLOOKUP(B14,[2]Трансп!A$2:CP$32,44,FALSE)/1000</f>
        <v>1064.1420000000001</v>
      </c>
      <c r="D14" s="20">
        <f>VLOOKUP(B14,[2]Трансп!A$2:CP$32,48,FALSE)/1000</f>
        <v>630.56799999999998</v>
      </c>
      <c r="E14" s="20">
        <f>VLOOKUP(B14,[2]Трансп!A$2:CP$32,51,FALSE)/1000</f>
        <v>527.20799999999997</v>
      </c>
      <c r="F14" s="20">
        <f>VLOOKUP(B14,[2]Трансп!A$2:CP$32,42,FALSE)/1000</f>
        <v>1140.3720000000001</v>
      </c>
      <c r="G14" s="20">
        <f>VLOOKUP(B14,[2]Трансп!A$2:CP$32,46,FALSE)/1000</f>
        <v>398.02300000000002</v>
      </c>
      <c r="H14" s="20">
        <f>VLOOKUP(B14,[2]Трансп!A$2:CP$32,49,FALSE)/1000</f>
        <v>300.77600000000001</v>
      </c>
      <c r="I14" s="30">
        <f>(C14/F14-1)*100</f>
        <v>-6.6846607948985115</v>
      </c>
      <c r="J14" s="30">
        <f>(D14/G14-1)*100</f>
        <v>58.425015639799696</v>
      </c>
      <c r="K14" s="63" t="s">
        <v>151</v>
      </c>
    </row>
    <row r="15" spans="1:11" x14ac:dyDescent="0.25">
      <c r="A15" s="74">
        <v>12</v>
      </c>
      <c r="B15" s="73" t="s">
        <v>47</v>
      </c>
      <c r="C15" s="20">
        <f>VLOOKUP(B15,[2]Трансп!A$2:CP$32,44,FALSE)/1000</f>
        <v>919.04300000000001</v>
      </c>
      <c r="D15" s="20">
        <f>VLOOKUP(B15,[2]Трансп!A$2:CP$32,48,FALSE)/1000</f>
        <v>856.01199999999994</v>
      </c>
      <c r="E15" s="20">
        <f>VLOOKUP(B15,[2]Трансп!A$2:CP$32,51,FALSE)/1000</f>
        <v>845.404</v>
      </c>
      <c r="F15" s="20">
        <f>VLOOKUP(B15,[2]Трансп!A$2:CP$32,42,FALSE)/1000</f>
        <v>701.77</v>
      </c>
      <c r="G15" s="20">
        <f>VLOOKUP(B15,[2]Трансп!A$2:CP$32,46,FALSE)/1000</f>
        <v>644.51800000000003</v>
      </c>
      <c r="H15" s="20">
        <f>VLOOKUP(B15,[2]Трансп!A$2:CP$32,49,FALSE)/1000</f>
        <v>633.01199999999994</v>
      </c>
      <c r="I15" s="30">
        <f t="shared" si="0"/>
        <v>30.960713624121873</v>
      </c>
      <c r="J15" s="30">
        <f t="shared" si="1"/>
        <v>32.8142891276892</v>
      </c>
      <c r="K15" s="63">
        <v>5407487242</v>
      </c>
    </row>
    <row r="16" spans="1:11" x14ac:dyDescent="0.25">
      <c r="A16" s="74">
        <v>13</v>
      </c>
      <c r="B16" s="73" t="s">
        <v>62</v>
      </c>
      <c r="C16" s="20">
        <f>VLOOKUP(B16,[2]Трансп!A$2:CP$32,44,FALSE)/1000</f>
        <v>874.61199999999997</v>
      </c>
      <c r="D16" s="20">
        <f>VLOOKUP(B16,[2]Трансп!A$2:CP$32,48,FALSE)/1000</f>
        <v>271.46899999999999</v>
      </c>
      <c r="E16" s="20">
        <f>VLOOKUP(B16,[2]Трансп!A$2:CP$32,51,FALSE)/1000</f>
        <v>242.429</v>
      </c>
      <c r="F16" s="20">
        <f>VLOOKUP(B16,[2]Трансп!A$2:CP$32,42,FALSE)/1000</f>
        <v>782.07500000000005</v>
      </c>
      <c r="G16" s="20">
        <f>VLOOKUP(B16,[2]Трансп!A$2:CP$32,46,FALSE)/1000</f>
        <v>223.726</v>
      </c>
      <c r="H16" s="20">
        <f>VLOOKUP(B16,[2]Трансп!A$2:CP$32,49,FALSE)/1000</f>
        <v>179.32300000000001</v>
      </c>
      <c r="I16" s="30">
        <f t="shared" si="0"/>
        <v>11.83224115334205</v>
      </c>
      <c r="J16" s="30">
        <f t="shared" si="1"/>
        <v>21.339942608369157</v>
      </c>
      <c r="K16" s="63">
        <v>7838492459</v>
      </c>
    </row>
    <row r="17" spans="1:11" x14ac:dyDescent="0.25">
      <c r="A17" s="74">
        <v>14</v>
      </c>
      <c r="B17" s="73" t="s">
        <v>67</v>
      </c>
      <c r="C17" s="20">
        <f>VLOOKUP(B17,[2]Трансп!A$2:CP$32,44,FALSE)/1000</f>
        <v>426.6</v>
      </c>
      <c r="D17" s="20">
        <f>VLOOKUP(B17,[2]Трансп!A$2:CP$32,48,FALSE)/1000</f>
        <v>376.05200000000002</v>
      </c>
      <c r="E17" s="20">
        <f>VLOOKUP(B17,[2]Трансп!A$2:CP$32,51,FALSE)/1000</f>
        <v>365.435</v>
      </c>
      <c r="F17" s="20">
        <f>VLOOKUP(B17,[2]Трансп!A$2:CP$32,42,FALSE)/1000</f>
        <v>624.48400000000004</v>
      </c>
      <c r="G17" s="20">
        <f>VLOOKUP(B17,[2]Трансп!A$2:CP$32,46,FALSE)/1000</f>
        <v>534.01800000000003</v>
      </c>
      <c r="H17" s="20">
        <f>VLOOKUP(B17,[2]Трансп!A$2:CP$32,49,FALSE)/1000</f>
        <v>525.18899999999996</v>
      </c>
      <c r="I17" s="30">
        <f t="shared" si="0"/>
        <v>-31.68760128361976</v>
      </c>
      <c r="J17" s="30">
        <f t="shared" si="1"/>
        <v>-29.580650839484811</v>
      </c>
      <c r="K17" s="63">
        <v>1831178411</v>
      </c>
    </row>
    <row r="18" spans="1:11" x14ac:dyDescent="0.25">
      <c r="A18" s="74">
        <v>15</v>
      </c>
      <c r="B18" s="73" t="s">
        <v>64</v>
      </c>
      <c r="C18" s="20">
        <f>VLOOKUP(B18,[2]Трансп!A$2:CP$32,44,FALSE)/1000</f>
        <v>393.95</v>
      </c>
      <c r="D18" s="20">
        <f>VLOOKUP(B18,[2]Трансп!A$2:CP$32,48,FALSE)/1000</f>
        <v>142.642</v>
      </c>
      <c r="E18" s="20">
        <f>VLOOKUP(B18,[2]Трансп!A$2:CP$32,51,FALSE)/1000</f>
        <v>112.117</v>
      </c>
      <c r="F18" s="20">
        <f>VLOOKUP(B18,[2]Трансп!A$2:CP$32,42,FALSE)/1000</f>
        <v>237.34899999999999</v>
      </c>
      <c r="G18" s="20">
        <f>VLOOKUP(B18,[2]Трансп!A$2:CP$32,46,FALSE)/1000</f>
        <v>219.94900000000001</v>
      </c>
      <c r="H18" s="20">
        <f>VLOOKUP(B18,[2]Трансп!A$2:CP$32,49,FALSE)/1000</f>
        <v>152.99799999999999</v>
      </c>
      <c r="I18" s="30">
        <f t="shared" si="0"/>
        <v>65.979212046395801</v>
      </c>
      <c r="J18" s="30">
        <f t="shared" si="1"/>
        <v>-35.147693328908069</v>
      </c>
      <c r="K18" s="63">
        <v>5260271530</v>
      </c>
    </row>
    <row r="19" spans="1:11" x14ac:dyDescent="0.25">
      <c r="A19" s="74">
        <v>16</v>
      </c>
      <c r="B19" s="73" t="s">
        <v>66</v>
      </c>
      <c r="C19" s="20">
        <f>VLOOKUP(B19,[2]Трансп!A$2:CP$32,44,FALSE)/1000</f>
        <v>212.417</v>
      </c>
      <c r="D19" s="20">
        <f>VLOOKUP(B19,[2]Трансп!A$2:CP$32,48,FALSE)/1000</f>
        <v>116.80500000000001</v>
      </c>
      <c r="E19" s="20">
        <f>VLOOKUP(B19,[2]Трансп!A$2:CP$32,51,FALSE)/1000</f>
        <v>85.388999999999996</v>
      </c>
      <c r="F19" s="20">
        <f>VLOOKUP(B19,[2]Трансп!A$2:CP$32,42,FALSE)/1000</f>
        <v>92.225999999999999</v>
      </c>
      <c r="G19" s="20">
        <f>VLOOKUP(B19,[2]Трансп!A$2:CP$32,46,FALSE)/1000</f>
        <v>63.99</v>
      </c>
      <c r="H19" s="20">
        <f>VLOOKUP(B19,[2]Трансп!A$2:CP$32,49,FALSE)/1000</f>
        <v>51.317</v>
      </c>
      <c r="I19" s="30">
        <f t="shared" si="0"/>
        <v>130.32225185956236</v>
      </c>
      <c r="J19" s="30">
        <f t="shared" si="1"/>
        <v>82.536333802156591</v>
      </c>
      <c r="K19" s="63">
        <v>4205219217</v>
      </c>
    </row>
    <row r="20" spans="1:11" x14ac:dyDescent="0.25">
      <c r="A20" s="74">
        <v>17</v>
      </c>
      <c r="B20" s="73" t="s">
        <v>51</v>
      </c>
      <c r="C20" s="20">
        <f>VLOOKUP(B20,[2]Трансп!A$2:CP$32,44,FALSE)/1000</f>
        <v>202.68899999999999</v>
      </c>
      <c r="D20" s="20">
        <f>VLOOKUP(B20,[2]Трансп!A$2:CP$32,48,FALSE)/1000</f>
        <v>140.536</v>
      </c>
      <c r="E20" s="20">
        <f>VLOOKUP(B20,[2]Трансп!A$2:CP$32,51,FALSE)/1000</f>
        <v>112.265</v>
      </c>
      <c r="F20" s="20">
        <f>VLOOKUP(B20,[2]Трансп!A$2:CP$32,42,FALSE)/1000</f>
        <v>37.853000000000002</v>
      </c>
      <c r="G20" s="20">
        <f>VLOOKUP(B20,[2]Трансп!A$2:CP$32,46,FALSE)/1000</f>
        <v>33.956000000000003</v>
      </c>
      <c r="H20" s="20">
        <f>VLOOKUP(B20,[2]Трансп!A$2:CP$32,49,FALSE)/1000</f>
        <v>25.670999999999999</v>
      </c>
      <c r="I20" s="30">
        <f t="shared" si="0"/>
        <v>435.46350355321897</v>
      </c>
      <c r="J20" s="30">
        <f t="shared" si="1"/>
        <v>313.87678171751674</v>
      </c>
      <c r="K20" s="63">
        <v>7704493556</v>
      </c>
    </row>
    <row r="21" spans="1:11" x14ac:dyDescent="0.25">
      <c r="A21" s="74">
        <v>18</v>
      </c>
      <c r="B21" s="73" t="s">
        <v>54</v>
      </c>
      <c r="C21" s="20">
        <f>VLOOKUP(B21,[2]Трансп!A$2:CP$32,44,FALSE)/1000</f>
        <v>196.14430599999986</v>
      </c>
      <c r="D21" s="20">
        <f>VLOOKUP(B21,[2]Трансп!A$2:CP$32,48,FALSE)/1000</f>
        <v>94.325505000000007</v>
      </c>
      <c r="E21" s="20">
        <f>VLOOKUP(B21,[2]Трансп!A$2:CP$32,51,FALSE)/1000</f>
        <v>69.634799999999998</v>
      </c>
      <c r="F21" s="20">
        <f>VLOOKUP(B21,[2]Трансп!A$2:CP$32,42,FALSE)/1000</f>
        <v>79.415999999999997</v>
      </c>
      <c r="G21" s="20">
        <f>VLOOKUP(B21,[2]Трансп!A$2:CP$32,46,FALSE)/1000</f>
        <v>26.050999999999998</v>
      </c>
      <c r="H21" s="20">
        <f>VLOOKUP(B21,[2]Трансп!A$2:CP$32,49,FALSE)/1000</f>
        <v>15.904999999999999</v>
      </c>
      <c r="I21" s="30">
        <f t="shared" si="0"/>
        <v>146.9833610355594</v>
      </c>
      <c r="J21" s="30">
        <f t="shared" si="1"/>
        <v>262.08016966719134</v>
      </c>
      <c r="K21" s="63">
        <v>4205271785</v>
      </c>
    </row>
    <row r="22" spans="1:11" x14ac:dyDescent="0.25">
      <c r="A22" s="74">
        <v>19</v>
      </c>
      <c r="B22" s="73" t="s">
        <v>61</v>
      </c>
      <c r="C22" s="20">
        <f>VLOOKUP(B22,[2]Трансп!A$2:CP$32,44,FALSE)/1000</f>
        <v>32.622</v>
      </c>
      <c r="D22" s="20">
        <f>VLOOKUP(B22,[2]Трансп!A$2:CP$32,48,FALSE)/1000</f>
        <v>19.263000000000002</v>
      </c>
      <c r="E22" s="20">
        <f>VLOOKUP(B22,[2]Трансп!A$2:CP$32,51,FALSE)/1000</f>
        <v>16.268000000000001</v>
      </c>
      <c r="F22" s="20">
        <f>VLOOKUP(B22,[2]Трансп!A$2:CP$32,42,FALSE)/1000</f>
        <v>22.277999999999999</v>
      </c>
      <c r="G22" s="20">
        <f>VLOOKUP(B22,[2]Трансп!A$2:CP$32,46,FALSE)/1000</f>
        <v>7.9080000000000004</v>
      </c>
      <c r="H22" s="20">
        <f>VLOOKUP(B22,[2]Трансп!A$2:CP$32,49,FALSE)/1000</f>
        <v>6.8719999999999999</v>
      </c>
      <c r="I22" s="30">
        <f t="shared" si="0"/>
        <v>46.431457042822522</v>
      </c>
      <c r="J22" s="30">
        <f t="shared" si="1"/>
        <v>143.58877086494689</v>
      </c>
      <c r="K22" s="63">
        <v>7705974076</v>
      </c>
    </row>
    <row r="23" spans="1:11" x14ac:dyDescent="0.25">
      <c r="A23" s="74">
        <v>20</v>
      </c>
      <c r="B23" s="73" t="s">
        <v>50</v>
      </c>
      <c r="C23" s="20">
        <f>VLOOKUP(B23,[2]Трансп!A$2:CP$32,44,FALSE)/1000</f>
        <v>1.66</v>
      </c>
      <c r="D23" s="20">
        <f>VLOOKUP(B23,[2]Трансп!A$2:CP$32,48,FALSE)/1000</f>
        <v>4.4999999999999998E-2</v>
      </c>
      <c r="E23" s="20">
        <f>VLOOKUP(B23,[2]Трансп!A$2:CP$32,51,FALSE)/1000</f>
        <v>4.4999999999999998E-2</v>
      </c>
      <c r="F23" s="20">
        <f>VLOOKUP(B23,[2]Трансп!A$2:CP$32,42,FALSE)/1000</f>
        <v>2.3220000000000001</v>
      </c>
      <c r="G23" s="20">
        <f>VLOOKUP(B23,[2]Трансп!A$2:CP$32,46,FALSE)/1000</f>
        <v>0.45</v>
      </c>
      <c r="H23" s="20">
        <f>VLOOKUP(B23,[2]Трансп!A$2:CP$32,49,FALSE)/1000</f>
        <v>0.45</v>
      </c>
      <c r="I23" s="30">
        <f t="shared" si="0"/>
        <v>-28.509905254091304</v>
      </c>
      <c r="J23" s="30">
        <f t="shared" si="1"/>
        <v>-90</v>
      </c>
      <c r="K23" s="63">
        <v>2465260220</v>
      </c>
    </row>
    <row r="24" spans="1:11" x14ac:dyDescent="0.25">
      <c r="A24" s="43"/>
      <c r="B24" s="42"/>
      <c r="C24" s="44"/>
      <c r="D24" s="44"/>
      <c r="E24" s="44"/>
      <c r="F24" s="44"/>
      <c r="G24" s="44"/>
      <c r="H24" s="44"/>
      <c r="I24" s="45"/>
      <c r="J24" s="45"/>
    </row>
    <row r="25" spans="1:11" x14ac:dyDescent="0.25">
      <c r="A25" s="43" t="s">
        <v>174</v>
      </c>
      <c r="B25" s="42"/>
      <c r="C25" s="44"/>
      <c r="D25" s="44"/>
      <c r="E25" s="44"/>
      <c r="F25" s="44"/>
      <c r="G25" s="44"/>
      <c r="H25" s="44"/>
      <c r="I25" s="45"/>
      <c r="J25" s="45"/>
    </row>
    <row r="26" spans="1:11" x14ac:dyDescent="0.25">
      <c r="A26" s="43" t="s">
        <v>110</v>
      </c>
      <c r="B26" s="42"/>
      <c r="C26" s="44"/>
      <c r="D26" s="44"/>
      <c r="E26" s="44"/>
      <c r="F26" s="44"/>
      <c r="G26" s="44"/>
      <c r="H26" s="44"/>
      <c r="I26" s="45"/>
      <c r="J26" s="45"/>
    </row>
    <row r="27" spans="1:11" x14ac:dyDescent="0.25">
      <c r="A27" s="43" t="s">
        <v>167</v>
      </c>
      <c r="B27" s="42"/>
      <c r="C27" s="44"/>
      <c r="D27" s="44"/>
      <c r="E27" s="44"/>
      <c r="F27" s="44"/>
      <c r="G27" s="44"/>
      <c r="H27" s="44"/>
      <c r="I27" s="45"/>
      <c r="J27" s="45"/>
    </row>
  </sheetData>
  <sortState xmlns:xlrd2="http://schemas.microsoft.com/office/spreadsheetml/2017/richdata2" ref="B4:H26">
    <sortCondition descending="1" ref="C4:C26"/>
  </sortState>
  <mergeCells count="6">
    <mergeCell ref="A2:A3"/>
    <mergeCell ref="B2:B3"/>
    <mergeCell ref="I2:I3"/>
    <mergeCell ref="J2:J3"/>
    <mergeCell ref="C2:E2"/>
    <mergeCell ref="F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AFD0E-74CE-497D-BD84-021D79567034}">
  <dimension ref="A1:I31"/>
  <sheetViews>
    <sheetView workbookViewId="0">
      <selection activeCell="O17" sqref="O17"/>
    </sheetView>
  </sheetViews>
  <sheetFormatPr defaultRowHeight="15" x14ac:dyDescent="0.25"/>
  <cols>
    <col min="2" max="2" width="50.7109375" customWidth="1"/>
    <col min="5" max="5" width="12" bestFit="1" customWidth="1"/>
    <col min="8" max="8" width="12.28515625" customWidth="1"/>
  </cols>
  <sheetData>
    <row r="1" spans="1:9" x14ac:dyDescent="0.25">
      <c r="A1" s="46" t="s">
        <v>113</v>
      </c>
      <c r="B1" s="7"/>
      <c r="C1" s="8"/>
      <c r="D1" s="8"/>
      <c r="E1" s="8"/>
      <c r="F1" s="8"/>
      <c r="G1" s="8"/>
      <c r="H1" s="8"/>
      <c r="I1" s="8"/>
    </row>
    <row r="2" spans="1:9" ht="79.5" x14ac:dyDescent="0.25">
      <c r="A2" s="28" t="s">
        <v>73</v>
      </c>
      <c r="B2" s="28" t="s">
        <v>0</v>
      </c>
      <c r="C2" s="28" t="s">
        <v>114</v>
      </c>
      <c r="D2" s="32" t="s">
        <v>115</v>
      </c>
      <c r="E2" s="32" t="s">
        <v>116</v>
      </c>
      <c r="F2" s="28" t="s">
        <v>142</v>
      </c>
      <c r="G2" s="32" t="s">
        <v>143</v>
      </c>
      <c r="H2" s="32" t="s">
        <v>144</v>
      </c>
      <c r="I2" s="28" t="s">
        <v>90</v>
      </c>
    </row>
    <row r="3" spans="1:9" x14ac:dyDescent="0.25">
      <c r="B3" t="s">
        <v>42</v>
      </c>
      <c r="C3" s="41">
        <f>VLOOKUP(B3,[2]Трансп!A$2:CP$32,55,FALSE)/1000</f>
        <v>2046.646</v>
      </c>
      <c r="D3" s="41">
        <f>VLOOKUP(B3,[2]Трансп!A$2:CP$32,60,FALSE)</f>
        <v>63.553833931222101</v>
      </c>
      <c r="E3" s="41">
        <f>VLOOKUP(B3,[2]Трансп!A$2:CP$32,64,FALSE)*100</f>
        <v>5.4564089794411945</v>
      </c>
      <c r="F3" s="41">
        <f>VLOOKUP(B3,[2]Трансп!A$2:CP$32,53,FALSE)/1000</f>
        <v>1499.1130000000001</v>
      </c>
      <c r="G3" s="41">
        <f>VLOOKUP(B3,[2]Трансп!A$2:CP$32,58,FALSE)</f>
        <v>51.098749727338763</v>
      </c>
      <c r="H3" s="41">
        <f>VLOOKUP(B3,[2]Трансп!A$2:CP$32,62,FALSE)*100</f>
        <v>5.5365983416297002</v>
      </c>
    </row>
    <row r="4" spans="1:9" x14ac:dyDescent="0.25">
      <c r="B4" t="s">
        <v>43</v>
      </c>
      <c r="C4" s="41">
        <f>VLOOKUP(B4,[2]Трансп!A$2:CP$32,55,FALSE)/1000</f>
        <v>0</v>
      </c>
      <c r="D4" s="41">
        <f>VLOOKUP(B4,[2]Трансп!A$2:CP$32,60,FALSE)</f>
        <v>0</v>
      </c>
      <c r="E4" s="41">
        <f>VLOOKUP(B4,[2]Трансп!A$2:CP$32,64,FALSE)*100</f>
        <v>0</v>
      </c>
      <c r="F4" s="41">
        <f>VLOOKUP(B4,[2]Трансп!A$2:CP$32,53,FALSE)/1000</f>
        <v>0</v>
      </c>
      <c r="G4" s="41">
        <f>VLOOKUP(B4,[2]Трансп!A$2:CP$32,58,FALSE)</f>
        <v>0</v>
      </c>
      <c r="H4" s="41">
        <f>VLOOKUP(B4,[2]Трансп!A$2:CP$32,62,FALSE)*100</f>
        <v>0</v>
      </c>
    </row>
    <row r="5" spans="1:9" x14ac:dyDescent="0.25">
      <c r="B5" t="s">
        <v>44</v>
      </c>
      <c r="C5" s="41">
        <f>VLOOKUP(B5,[2]Трансп!A$2:CP$32,55,FALSE)/1000</f>
        <v>0</v>
      </c>
      <c r="D5" s="41">
        <f>VLOOKUP(B5,[2]Трансп!A$2:CP$32,60,FALSE)</f>
        <v>0</v>
      </c>
      <c r="E5" s="41">
        <f>VLOOKUP(B5,[2]Трансп!A$2:CP$32,64,FALSE)*100</f>
        <v>0</v>
      </c>
      <c r="F5" s="41">
        <f>VLOOKUP(B5,[2]Трансп!A$2:CP$32,53,FALSE)/1000</f>
        <v>0</v>
      </c>
      <c r="G5" s="41">
        <f>VLOOKUP(B5,[2]Трансп!A$2:CP$32,58,FALSE)</f>
        <v>0</v>
      </c>
      <c r="H5" s="41">
        <f>VLOOKUP(B5,[2]Трансп!A$2:CP$32,62,FALSE)*100</f>
        <v>0</v>
      </c>
    </row>
    <row r="6" spans="1:9" x14ac:dyDescent="0.25">
      <c r="B6" t="s">
        <v>45</v>
      </c>
      <c r="C6" s="41">
        <f>VLOOKUP(B6,[2]Трансп!A$2:CP$32,55,FALSE)/1000</f>
        <v>0</v>
      </c>
      <c r="D6" s="41">
        <f>VLOOKUP(B6,[2]Трансп!A$2:CP$32,60,FALSE)</f>
        <v>0</v>
      </c>
      <c r="E6" s="41">
        <f>VLOOKUP(B6,[2]Трансп!A$2:CP$32,64,FALSE)*100</f>
        <v>0</v>
      </c>
      <c r="F6" s="41">
        <f>VLOOKUP(B6,[2]Трансп!A$2:CP$32,53,FALSE)/1000</f>
        <v>0</v>
      </c>
      <c r="G6" s="41">
        <f>VLOOKUP(B6,[2]Трансп!A$2:CP$32,58,FALSE)</f>
        <v>0</v>
      </c>
      <c r="H6" s="41">
        <f>VLOOKUP(B6,[2]Трансп!A$2:CP$32,62,FALSE)*100</f>
        <v>0</v>
      </c>
    </row>
    <row r="7" spans="1:9" x14ac:dyDescent="0.25">
      <c r="B7" t="s">
        <v>46</v>
      </c>
      <c r="C7" s="41">
        <f>VLOOKUP(B7,[2]Трансп!A$2:CP$32,55,FALSE)/1000</f>
        <v>1958.7080000000001</v>
      </c>
      <c r="D7" s="41">
        <f>VLOOKUP(B7,[2]Трансп!A$2:CP$32,60,FALSE)</f>
        <v>0.01</v>
      </c>
      <c r="E7" s="41">
        <f>VLOOKUP(B7,[2]Трансп!A$2:CP$32,64,FALSE)*100</f>
        <v>62</v>
      </c>
      <c r="F7" s="41">
        <f>VLOOKUP(B7,[2]Трансп!A$2:CP$32,53,FALSE)/1000</f>
        <v>2279.1880000000001</v>
      </c>
      <c r="G7" s="41">
        <f>VLOOKUP(B7,[2]Трансп!A$2:CP$32,58,FALSE)</f>
        <v>0</v>
      </c>
      <c r="H7" s="41">
        <f>VLOOKUP(B7,[2]Трансп!A$2:CP$32,62,FALSE)*100</f>
        <v>86</v>
      </c>
    </row>
    <row r="8" spans="1:9" x14ac:dyDescent="0.25">
      <c r="B8" t="s">
        <v>47</v>
      </c>
      <c r="C8" s="41">
        <f>VLOOKUP(B8,[2]Трансп!A$2:CP$32,55,FALSE)/1000</f>
        <v>109.453</v>
      </c>
      <c r="D8" s="41">
        <f>VLOOKUP(B8,[2]Трансп!A$2:CP$32,60,FALSE)</f>
        <v>0</v>
      </c>
      <c r="E8" s="41">
        <f>VLOOKUP(B8,[2]Трансп!A$2:CP$32,64,FALSE)*100</f>
        <v>0</v>
      </c>
      <c r="F8" s="41">
        <f>VLOOKUP(B8,[2]Трансп!A$2:CP$32,53,FALSE)/1000</f>
        <v>500.084</v>
      </c>
      <c r="G8" s="41">
        <f>VLOOKUP(B8,[2]Трансп!A$2:CP$32,58,FALSE)</f>
        <v>0</v>
      </c>
      <c r="H8" s="41">
        <f>VLOOKUP(B8,[2]Трансп!A$2:CP$32,62,FALSE)*100</f>
        <v>0</v>
      </c>
    </row>
    <row r="9" spans="1:9" x14ac:dyDescent="0.25">
      <c r="B9" t="s">
        <v>48</v>
      </c>
      <c r="C9" s="41">
        <f>VLOOKUP(B9,[2]Трансп!A$2:CP$32,55,FALSE)/1000</f>
        <v>0</v>
      </c>
      <c r="D9" s="41">
        <f>VLOOKUP(B9,[2]Трансп!A$2:CP$32,60,FALSE)</f>
        <v>0</v>
      </c>
      <c r="E9" s="41">
        <f>VLOOKUP(B9,[2]Трансп!A$2:CP$32,64,FALSE)*100</f>
        <v>0</v>
      </c>
      <c r="F9" s="41">
        <f>VLOOKUP(B9,[2]Трансп!A$2:CP$32,53,FALSE)/1000</f>
        <v>0</v>
      </c>
      <c r="G9" s="41">
        <f>VLOOKUP(B9,[2]Трансп!A$2:CP$32,58,FALSE)</f>
        <v>0</v>
      </c>
      <c r="H9" s="41">
        <f>VLOOKUP(B9,[2]Трансп!A$2:CP$32,62,FALSE)*100</f>
        <v>0</v>
      </c>
    </row>
    <row r="10" spans="1:9" s="37" customFormat="1" x14ac:dyDescent="0.25">
      <c r="B10" s="37" t="s">
        <v>49</v>
      </c>
      <c r="C10" s="49">
        <f>VLOOKUP(B10,[2]Трансп!A$2:CP$32,55,FALSE)/1000</f>
        <v>0</v>
      </c>
      <c r="D10" s="49">
        <f>VLOOKUP(B10,[2]Трансп!A$2:CP$32,60,FALSE)</f>
        <v>0</v>
      </c>
      <c r="E10" s="49">
        <f>VLOOKUP(B10,[2]Трансп!A$2:CP$32,64,FALSE)*100</f>
        <v>0</v>
      </c>
      <c r="F10" s="49">
        <f>VLOOKUP(B10,[2]Трансп!A$2:CP$32,53,FALSE)/1000</f>
        <v>0</v>
      </c>
      <c r="G10" s="49">
        <f>VLOOKUP(B10,[2]Трансп!A$2:CP$32,58,FALSE)</f>
        <v>0</v>
      </c>
      <c r="H10" s="49">
        <f>VLOOKUP(B10,[2]Трансп!A$2:CP$32,62,FALSE)*100</f>
        <v>0</v>
      </c>
    </row>
    <row r="11" spans="1:9" x14ac:dyDescent="0.25">
      <c r="B11" t="s">
        <v>50</v>
      </c>
      <c r="C11" s="41">
        <f>VLOOKUP(B11,[2]Трансп!A$2:CP$32,55,FALSE)/1000</f>
        <v>0.26200000000000001</v>
      </c>
      <c r="D11" s="41">
        <f>VLOOKUP(B11,[2]Трансп!A$2:CP$32,60,FALSE)</f>
        <v>0.31</v>
      </c>
      <c r="E11" s="41">
        <f>VLOOKUP(B11,[2]Трансп!A$2:CP$32,64,FALSE)*100</f>
        <v>0</v>
      </c>
      <c r="F11" s="41">
        <f>VLOOKUP(B11,[2]Трансп!A$2:CP$32,53,FALSE)/1000</f>
        <v>0.61599999999999999</v>
      </c>
      <c r="G11" s="41">
        <f>VLOOKUP(B11,[2]Трансп!A$2:CP$32,58,FALSE)</f>
        <v>0</v>
      </c>
      <c r="H11" s="41">
        <f>VLOOKUP(B11,[2]Трансп!A$2:CP$32,62,FALSE)*100</f>
        <v>0</v>
      </c>
    </row>
    <row r="12" spans="1:9" x14ac:dyDescent="0.25">
      <c r="B12" t="s">
        <v>51</v>
      </c>
      <c r="C12" s="41">
        <f>VLOOKUP(B12,[2]Трансп!A$2:CP$32,55,FALSE)/1000</f>
        <v>325.77600000000001</v>
      </c>
      <c r="D12" s="41">
        <f>VLOOKUP(B12,[2]Трансп!A$2:CP$32,60,FALSE)</f>
        <v>100</v>
      </c>
      <c r="E12" s="41">
        <f>VLOOKUP(B12,[2]Трансп!A$2:CP$32,64,FALSE)*100</f>
        <v>0</v>
      </c>
      <c r="F12" s="41">
        <f>VLOOKUP(B12,[2]Трансп!A$2:CP$32,53,FALSE)/1000</f>
        <v>86.477000000000004</v>
      </c>
      <c r="G12" s="41">
        <f>VLOOKUP(B12,[2]Трансп!A$2:CP$32,58,FALSE)</f>
        <v>100</v>
      </c>
      <c r="H12" s="41">
        <f>VLOOKUP(B12,[2]Трансп!A$2:CP$32,62,FALSE)*100</f>
        <v>0</v>
      </c>
    </row>
    <row r="13" spans="1:9" x14ac:dyDescent="0.25">
      <c r="B13" t="s">
        <v>52</v>
      </c>
      <c r="C13" s="41">
        <f>VLOOKUP(B13,[2]Трансп!A$2:CP$32,55,FALSE)/1000</f>
        <v>0</v>
      </c>
      <c r="D13" s="41">
        <f>VLOOKUP(B13,[2]Трансп!A$2:CP$32,60,FALSE)</f>
        <v>0</v>
      </c>
      <c r="E13" s="41">
        <f>VLOOKUP(B13,[2]Трансп!A$2:CP$32,64,FALSE)*100</f>
        <v>0</v>
      </c>
      <c r="F13" s="41">
        <f>VLOOKUP(B13,[2]Трансп!A$2:CP$32,53,FALSE)/1000</f>
        <v>0</v>
      </c>
      <c r="G13" s="41">
        <f>VLOOKUP(B13,[2]Трансп!A$2:CP$32,58,FALSE)</f>
        <v>0</v>
      </c>
      <c r="H13" s="41">
        <f>VLOOKUP(B13,[2]Трансп!A$2:CP$32,62,FALSE)*100</f>
        <v>0</v>
      </c>
    </row>
    <row r="14" spans="1:9" s="37" customFormat="1" x14ac:dyDescent="0.25">
      <c r="B14" s="37" t="s">
        <v>53</v>
      </c>
      <c r="C14" s="49">
        <f>VLOOKUP(B14,[2]Трансп!A$2:CP$32,55,FALSE)/1000</f>
        <v>3515.5406154399998</v>
      </c>
      <c r="D14" s="49">
        <f>VLOOKUP(B14,[2]Трансп!A$2:CP$32,60,FALSE)</f>
        <v>1</v>
      </c>
      <c r="E14" s="49">
        <f>VLOOKUP(B14,[2]Трансп!A$2:CP$32,64,FALSE)</f>
        <v>26.01</v>
      </c>
      <c r="F14" s="49">
        <f>VLOOKUP(B14,[2]Трансп!A$2:CP$32,53,FALSE)/1000</f>
        <v>2057.5789201400003</v>
      </c>
      <c r="G14" s="49">
        <f>VLOOKUP(B14,[2]Трансп!A$2:CP$32,58,FALSE)</f>
        <v>0.91500000000000004</v>
      </c>
      <c r="H14" s="49">
        <f>VLOOKUP(B14,[2]Трансп!A$2:CP$32,62,FALSE)</f>
        <v>23.68</v>
      </c>
    </row>
    <row r="15" spans="1:9" x14ac:dyDescent="0.25">
      <c r="B15" t="s">
        <v>54</v>
      </c>
      <c r="C15" s="41">
        <f>VLOOKUP(B15,[2]Трансп!A$2:CP$32,55,FALSE)/1000</f>
        <v>259.45400000000001</v>
      </c>
      <c r="D15" s="41">
        <f>VLOOKUP(B15,[2]Трансп!A$2:CP$32,60,FALSE)</f>
        <v>1</v>
      </c>
      <c r="E15" s="41">
        <f>VLOOKUP(B15,[2]Трансп!A$2:CP$32,64,FALSE)*100</f>
        <v>14.608106380258279</v>
      </c>
      <c r="F15" s="41">
        <f>VLOOKUP(B15,[2]Трансп!A$2:CP$32,53,FALSE)/1000</f>
        <v>52.411000000000001</v>
      </c>
      <c r="G15" s="41">
        <f>VLOOKUP(B15,[2]Трансп!A$2:CP$32,58,FALSE)</f>
        <v>1</v>
      </c>
      <c r="H15" s="41">
        <f>VLOOKUP(B15,[2]Трансп!A$2:CP$32,62,FALSE)*100</f>
        <v>7.4587052426387608</v>
      </c>
    </row>
    <row r="16" spans="1:9" x14ac:dyDescent="0.25">
      <c r="B16" t="s">
        <v>55</v>
      </c>
      <c r="C16" s="41">
        <f>VLOOKUP(B16,[2]Трансп!A$2:CP$32,55,FALSE)/1000</f>
        <v>0</v>
      </c>
      <c r="D16" s="41">
        <f>VLOOKUP(B16,[2]Трансп!A$2:CP$32,60,FALSE)</f>
        <v>0</v>
      </c>
      <c r="E16" s="41">
        <f>VLOOKUP(B16,[2]Трансп!A$2:CP$32,64,FALSE)*100</f>
        <v>0</v>
      </c>
      <c r="F16" s="41">
        <f>VLOOKUP(B16,[2]Трансп!A$2:CP$32,53,FALSE)/1000</f>
        <v>0</v>
      </c>
      <c r="G16" s="41">
        <f>VLOOKUP(B16,[2]Трансп!A$2:CP$32,58,FALSE)</f>
        <v>0</v>
      </c>
      <c r="H16" s="41">
        <f>VLOOKUP(B16,[2]Трансп!A$2:CP$32,62,FALSE)*100</f>
        <v>0</v>
      </c>
    </row>
    <row r="17" spans="2:8" x14ac:dyDescent="0.25">
      <c r="B17" t="s">
        <v>56</v>
      </c>
      <c r="C17" s="41">
        <f>VLOOKUP(B17,[2]Трансп!A$2:CP$32,55,FALSE)/1000</f>
        <v>1679.85960991</v>
      </c>
      <c r="D17" s="41">
        <f>VLOOKUP(B17,[2]Трансп!A$2:CP$32,60,FALSE)</f>
        <v>100</v>
      </c>
      <c r="E17" s="41">
        <f>VLOOKUP(B17,[2]Трансп!A$2:CP$32,64,FALSE)*100</f>
        <v>21.002686288250409</v>
      </c>
      <c r="F17" s="41">
        <f>VLOOKUP(B17,[2]Трансп!A$2:CP$32,53,FALSE)/1000</f>
        <v>1335.5808319999999</v>
      </c>
      <c r="G17" s="41">
        <f>VLOOKUP(B17,[2]Трансп!A$2:CP$32,58,FALSE)</f>
        <v>100</v>
      </c>
      <c r="H17" s="41">
        <f>VLOOKUP(B17,[2]Трансп!A$2:CP$32,62,FALSE)*100</f>
        <v>17.695290704477802</v>
      </c>
    </row>
    <row r="18" spans="2:8" x14ac:dyDescent="0.25">
      <c r="B18" t="s">
        <v>57</v>
      </c>
      <c r="C18" s="41">
        <f>VLOOKUP(B18,[2]Трансп!A$2:CP$32,55,FALSE)/1000</f>
        <v>0</v>
      </c>
      <c r="D18" s="41">
        <f>VLOOKUP(B18,[2]Трансп!A$2:CP$32,60,FALSE)</f>
        <v>0</v>
      </c>
      <c r="E18" s="41">
        <f>VLOOKUP(B18,[2]Трансп!A$2:CP$32,64,FALSE)*100</f>
        <v>0</v>
      </c>
      <c r="F18" s="41">
        <f>VLOOKUP(B18,[2]Трансп!A$2:CP$32,53,FALSE)/1000</f>
        <v>0</v>
      </c>
      <c r="G18" s="41">
        <f>VLOOKUP(B18,[2]Трансп!A$2:CP$32,58,FALSE)</f>
        <v>0</v>
      </c>
      <c r="H18" s="41">
        <f>VLOOKUP(B18,[2]Трансп!A$2:CP$32,62,FALSE)*100</f>
        <v>0</v>
      </c>
    </row>
    <row r="19" spans="2:8" x14ac:dyDescent="0.25">
      <c r="B19" t="s">
        <v>58</v>
      </c>
      <c r="C19" s="41">
        <f>VLOOKUP(B19,[2]Трансп!A$2:CP$32,55,FALSE)/1000</f>
        <v>0</v>
      </c>
      <c r="D19" s="41">
        <f>VLOOKUP(B19,[2]Трансп!A$2:CP$32,60,FALSE)</f>
        <v>0</v>
      </c>
      <c r="E19" s="41">
        <f>VLOOKUP(B19,[2]Трансп!A$2:CP$32,64,FALSE)*100</f>
        <v>0</v>
      </c>
      <c r="F19" s="41">
        <f>VLOOKUP(B19,[2]Трансп!A$2:CP$32,53,FALSE)/1000</f>
        <v>0</v>
      </c>
      <c r="G19" s="41">
        <f>VLOOKUP(B19,[2]Трансп!A$2:CP$32,58,FALSE)</f>
        <v>0</v>
      </c>
      <c r="H19" s="41">
        <f>VLOOKUP(B19,[2]Трансп!A$2:CP$32,62,FALSE)*100</f>
        <v>0</v>
      </c>
    </row>
    <row r="20" spans="2:8" x14ac:dyDescent="0.25">
      <c r="B20" t="s">
        <v>59</v>
      </c>
      <c r="C20" s="41">
        <f>VLOOKUP(B20,[2]Трансп!A$2:CP$32,55,FALSE)/1000</f>
        <v>1681.201</v>
      </c>
      <c r="D20" s="41">
        <f>VLOOKUP(B20,[2]Трансп!A$2:CP$32,60,FALSE)</f>
        <v>100</v>
      </c>
      <c r="E20" s="41">
        <f>VLOOKUP(B20,[2]Трансп!A$2:CP$32,64,FALSE)</f>
        <v>16</v>
      </c>
      <c r="F20" s="41">
        <f>VLOOKUP(B20,[2]Трансп!A$2:CP$32,53,FALSE)/1000</f>
        <v>714.52499999999998</v>
      </c>
      <c r="G20" s="41">
        <f>VLOOKUP(B20,[2]Трансп!A$2:CP$32,58,FALSE)</f>
        <v>100</v>
      </c>
      <c r="H20" s="41">
        <f>VLOOKUP(B20,[2]Трансп!A$2:CP$32,62,FALSE)</f>
        <v>0.8</v>
      </c>
    </row>
    <row r="21" spans="2:8" x14ac:dyDescent="0.25">
      <c r="B21" t="s">
        <v>60</v>
      </c>
      <c r="C21" s="41">
        <f>VLOOKUP(B21,[2]Трансп!A$2:CP$32,55,FALSE)/1000</f>
        <v>7218.4709999999995</v>
      </c>
      <c r="D21" s="41">
        <f>VLOOKUP(B21,[2]Трансп!A$2:CP$32,60,FALSE)</f>
        <v>100</v>
      </c>
      <c r="E21" s="47" t="s">
        <v>85</v>
      </c>
      <c r="F21" s="47">
        <f>VLOOKUP(B21,[2]Трансп!A$2:CP$32,53,FALSE)/1000</f>
        <v>1553.961</v>
      </c>
      <c r="G21" s="47">
        <f>VLOOKUP(B21,[2]Трансп!A$2:CP$32,58,FALSE)</f>
        <v>100</v>
      </c>
      <c r="H21" s="47" t="s">
        <v>85</v>
      </c>
    </row>
    <row r="22" spans="2:8" x14ac:dyDescent="0.25">
      <c r="B22" t="s">
        <v>86</v>
      </c>
      <c r="C22" s="41">
        <f>VLOOKUP(B22,[2]Трансп!A$2:CP$32,55,FALSE)/1000</f>
        <v>3887.0497370000003</v>
      </c>
      <c r="D22" s="41">
        <f>VLOOKUP(B22,[2]Трансп!A$2:CP$32,60,FALSE)</f>
        <v>0.28434719048721036</v>
      </c>
      <c r="E22" s="41">
        <f>VLOOKUP(B22,[2]Трансп!A$2:CP$32,64,FALSE)*100</f>
        <v>19</v>
      </c>
      <c r="F22" s="41">
        <f>VLOOKUP(B22,[2]Трансп!A$2:CP$32,53,FALSE)/1000</f>
        <v>2590.0659999999998</v>
      </c>
      <c r="G22" s="41">
        <f>VLOOKUP(B22,[2]Трансп!A$2:CP$32,58,FALSE)</f>
        <v>0.29199999999999998</v>
      </c>
      <c r="H22" s="41">
        <f>VLOOKUP(B22,[2]Трансп!A$2:CP$32,62,FALSE)*100</f>
        <v>22.6</v>
      </c>
    </row>
    <row r="23" spans="2:8" x14ac:dyDescent="0.25">
      <c r="B23" t="s">
        <v>61</v>
      </c>
      <c r="C23" s="41">
        <f>VLOOKUP(B23,[2]Трансп!A$2:CP$32,55,FALSE)/1000</f>
        <v>69.290000000000006</v>
      </c>
      <c r="D23" s="41">
        <f>VLOOKUP(B23,[2]Трансп!A$2:CP$32,60,FALSE)</f>
        <v>0.82</v>
      </c>
      <c r="E23" s="41">
        <f>VLOOKUP(B23,[2]Трансп!A$2:CP$32,64,FALSE)*100</f>
        <v>0</v>
      </c>
      <c r="F23" s="41">
        <f>VLOOKUP(B23,[2]Трансп!A$2:CP$32,53,FALSE)/1000</f>
        <v>36.774000000000001</v>
      </c>
      <c r="G23" s="41">
        <f>VLOOKUP(B23,[2]Трансп!A$2:CP$32,58,FALSE)</f>
        <v>0.01</v>
      </c>
      <c r="H23" s="41">
        <f>VLOOKUP(B23,[2]Трансп!A$2:CP$32,62,FALSE)*100</f>
        <v>0</v>
      </c>
    </row>
    <row r="24" spans="2:8" x14ac:dyDescent="0.25">
      <c r="B24" t="s">
        <v>62</v>
      </c>
      <c r="C24" s="41">
        <f>VLOOKUP(B24,[2]Трансп!A$2:CP$32,55,FALSE)/1000</f>
        <v>247.97</v>
      </c>
      <c r="D24" s="41">
        <f>VLOOKUP(B24,[2]Трансп!A$2:CP$32,60,FALSE)</f>
        <v>0</v>
      </c>
      <c r="E24" s="41">
        <f>VLOOKUP(B24,[2]Трансп!A$2:CP$32,64,FALSE)*100</f>
        <v>15.39</v>
      </c>
      <c r="F24" s="41">
        <f>VLOOKUP(B24,[2]Трансп!A$2:CP$32,53,FALSE)/1000</f>
        <v>155.24</v>
      </c>
      <c r="G24" s="41">
        <f>VLOOKUP(B24,[2]Трансп!A$2:CP$32,58,FALSE)</f>
        <v>0</v>
      </c>
      <c r="H24" s="41">
        <f>VLOOKUP(B24,[2]Трансп!A$2:CP$32,62,FALSE)*100</f>
        <v>9.8000000000000007</v>
      </c>
    </row>
    <row r="25" spans="2:8" s="37" customFormat="1" x14ac:dyDescent="0.25">
      <c r="B25" s="37" t="s">
        <v>63</v>
      </c>
      <c r="C25" s="49">
        <f>VLOOKUP(B25,[2]Трансп!A$2:CP$32,55,FALSE)/1000</f>
        <v>1017.2607744400001</v>
      </c>
      <c r="D25" s="49">
        <f>VLOOKUP(B25,[2]Трансп!A$2:CP$32,60,FALSE)</f>
        <v>0.92249190938511327</v>
      </c>
      <c r="E25" s="49">
        <f>VLOOKUP(B25,[2]Трансп!A$2:CP$32,64,FALSE)*100</f>
        <v>57.251734142354302</v>
      </c>
      <c r="F25" s="49">
        <f>VLOOKUP(B25,[2]Трансп!A$2:CP$32,53,FALSE)/1000</f>
        <v>701.57100000000003</v>
      </c>
      <c r="G25" s="49">
        <f>VLOOKUP(B25,[2]Трансп!A$2:CP$32,58,FALSE)</f>
        <v>0.4788</v>
      </c>
      <c r="H25" s="49">
        <f>VLOOKUP(B25,[2]Трансп!A$2:CP$32,62,FALSE)*100</f>
        <v>43.9</v>
      </c>
    </row>
    <row r="26" spans="2:8" x14ac:dyDescent="0.25">
      <c r="B26" t="s">
        <v>64</v>
      </c>
      <c r="C26" s="41">
        <f>VLOOKUP(B26,[2]Трансп!A$2:CP$32,55,FALSE)/1000</f>
        <v>338.7</v>
      </c>
      <c r="D26" s="41">
        <f>VLOOKUP(B26,[2]Трансп!A$2:CP$32,60,FALSE)</f>
        <v>0</v>
      </c>
      <c r="E26" s="41">
        <f>VLOOKUP(B26,[2]Трансп!A$2:CP$32,64,FALSE)</f>
        <v>16</v>
      </c>
      <c r="F26" s="41">
        <f>VLOOKUP(B26,[2]Трансп!A$2:CP$32,53,FALSE)/1000</f>
        <v>503.00099999999998</v>
      </c>
      <c r="G26" s="41">
        <f>VLOOKUP(B26,[2]Трансп!A$2:CP$32,58,FALSE)</f>
        <v>0</v>
      </c>
      <c r="H26" s="41">
        <f>VLOOKUP(B26,[2]Трансп!A$2:CP$32,62,FALSE)</f>
        <v>9</v>
      </c>
    </row>
    <row r="27" spans="2:8" s="10" customFormat="1" x14ac:dyDescent="0.25">
      <c r="B27" s="10" t="s">
        <v>65</v>
      </c>
      <c r="C27" s="48">
        <f>VLOOKUP(B27,[2]Трансп!A$2:CP$32,55,FALSE)/1000</f>
        <v>2298.1089999999999</v>
      </c>
      <c r="D27" s="48">
        <v>69</v>
      </c>
      <c r="E27" s="48">
        <f>VLOOKUP(B27,[2]Трансп!A$2:CP$32,64,FALSE)*100</f>
        <v>0</v>
      </c>
      <c r="F27" s="48">
        <f>VLOOKUP(B27,[2]Трансп!A$2:CP$32,53,FALSE)/1000</f>
        <v>1178.5170000000001</v>
      </c>
      <c r="G27" s="48">
        <v>66</v>
      </c>
      <c r="H27" s="48">
        <f>VLOOKUP(B27,[2]Трансп!A$2:CP$32,62,FALSE)*100</f>
        <v>0</v>
      </c>
    </row>
    <row r="28" spans="2:8" x14ac:dyDescent="0.25">
      <c r="B28" t="s">
        <v>66</v>
      </c>
      <c r="C28" s="41">
        <f>VLOOKUP(B28,[2]Трансп!A$2:CP$32,55,FALSE)/1000</f>
        <v>387.21800000000002</v>
      </c>
      <c r="D28" s="41">
        <f>VLOOKUP(B28,[2]Трансп!A$2:CP$32,60,FALSE)</f>
        <v>56.61</v>
      </c>
      <c r="E28" s="41">
        <f>VLOOKUP(B28,[2]Трансп!A$2:CP$32,64,FALSE)</f>
        <v>24.6</v>
      </c>
      <c r="F28" s="41">
        <f>VLOOKUP(B28,[2]Трансп!A$2:CP$32,53,FALSE)/1000</f>
        <v>198.71899999999999</v>
      </c>
      <c r="G28" s="41">
        <f>VLOOKUP(B28,[2]Трансп!A$2:CP$32,58,FALSE)</f>
        <v>6.15</v>
      </c>
      <c r="H28" s="41">
        <f>VLOOKUP(B28,[2]Трансп!A$2:CP$32,62,FALSE)</f>
        <v>8.58</v>
      </c>
    </row>
    <row r="29" spans="2:8" x14ac:dyDescent="0.25">
      <c r="B29" t="s">
        <v>67</v>
      </c>
      <c r="C29" s="41">
        <f>VLOOKUP(B29,[2]Трансп!A$2:CP$32,55,FALSE)/1000</f>
        <v>141.886</v>
      </c>
      <c r="D29" s="41">
        <f>VLOOKUP(B29,[2]Трансп!A$2:CP$32,60,FALSE)</f>
        <v>0</v>
      </c>
      <c r="E29" s="41">
        <f>VLOOKUP(B29,[2]Трансп!A$2:CP$32,64,FALSE)</f>
        <v>34</v>
      </c>
      <c r="F29" s="41">
        <f>VLOOKUP(B29,[2]Трансп!A$2:CP$32,53,FALSE)/1000</f>
        <v>195.05799999999999</v>
      </c>
      <c r="G29" s="41">
        <f>VLOOKUP(B29,[2]Трансп!A$2:CP$32,58,FALSE)</f>
        <v>0</v>
      </c>
      <c r="H29" s="41">
        <f>VLOOKUP(B29,[2]Трансп!A$2:CP$32,62,FALSE)</f>
        <v>34</v>
      </c>
    </row>
    <row r="30" spans="2:8" x14ac:dyDescent="0.25">
      <c r="B30" t="s">
        <v>68</v>
      </c>
      <c r="C30" s="41">
        <f>VLOOKUP(B30,[2]Трансп!A$2:CP$32,55,FALSE)/1000</f>
        <v>4070.3054139999999</v>
      </c>
      <c r="D30" s="41">
        <f>VLOOKUP(B30,[2]Трансп!A$2:CP$32,60,FALSE)</f>
        <v>0.73657687349158707</v>
      </c>
      <c r="E30" s="41">
        <f>VLOOKUP(B30,[2]Трансп!A$2:CP$32,64,FALSE)*100</f>
        <v>0</v>
      </c>
      <c r="F30" s="41">
        <f>VLOOKUP(B30,[2]Трансп!A$2:CP$32,53,FALSE)/1000</f>
        <v>1598.3867190000001</v>
      </c>
      <c r="G30" s="41">
        <f>VLOOKUP(B30,[2]Трансп!A$2:CP$32,58,FALSE)</f>
        <v>0.15988464929180884</v>
      </c>
      <c r="H30" s="41">
        <f>VLOOKUP(B30,[2]Трансп!A$2:CP$32,62,FALSE)*100</f>
        <v>0</v>
      </c>
    </row>
    <row r="31" spans="2:8" x14ac:dyDescent="0.25">
      <c r="B31" t="s">
        <v>69</v>
      </c>
      <c r="C31" s="41">
        <f>VLOOKUP(B31,[2]Трансп!A$2:CP$32,55,FALSE)/1000</f>
        <v>1573.4449999999999</v>
      </c>
      <c r="D31" s="41">
        <f>VLOOKUP(B31,[2]Трансп!A$2:CP$32,60,FALSE)</f>
        <v>1</v>
      </c>
      <c r="E31" s="41">
        <f>VLOOKUP(B31,[2]Трансп!A$2:CP$32,64,FALSE)*100</f>
        <v>20</v>
      </c>
      <c r="F31" s="41">
        <f>VLOOKUP(B31,[2]Трансп!A$2:CP$32,53,FALSE)/1000</f>
        <v>1174.9110000000001</v>
      </c>
      <c r="G31" s="41">
        <f>VLOOKUP(B31,[2]Трансп!A$2:CP$32,58,FALSE)</f>
        <v>1</v>
      </c>
      <c r="H31" s="41">
        <f>VLOOKUP(B31,[2]Трансп!A$2:CP$32,62,FALSE)*100</f>
        <v>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995D4-6550-4F56-800E-E45B9728810E}">
  <dimension ref="A1:J22"/>
  <sheetViews>
    <sheetView workbookViewId="0">
      <selection activeCell="A2" sqref="A2:I22"/>
    </sheetView>
  </sheetViews>
  <sheetFormatPr defaultRowHeight="15" x14ac:dyDescent="0.25"/>
  <cols>
    <col min="2" max="2" width="50.7109375" customWidth="1"/>
    <col min="3" max="3" width="10.5703125" style="11" bestFit="1" customWidth="1"/>
    <col min="5" max="5" width="12" bestFit="1" customWidth="1"/>
    <col min="6" max="6" width="10.5703125" style="11" bestFit="1" customWidth="1"/>
    <col min="8" max="8" width="12.28515625" customWidth="1"/>
    <col min="10" max="10" width="15.7109375" style="63" customWidth="1"/>
  </cols>
  <sheetData>
    <row r="1" spans="1:10" x14ac:dyDescent="0.25">
      <c r="A1" s="46" t="s">
        <v>113</v>
      </c>
      <c r="B1" s="7"/>
      <c r="C1" s="91"/>
      <c r="D1" s="8"/>
      <c r="E1" s="8"/>
      <c r="F1" s="91"/>
      <c r="G1" s="8"/>
      <c r="H1" s="8"/>
      <c r="I1" s="8"/>
    </row>
    <row r="2" spans="1:10" ht="57" x14ac:dyDescent="0.25">
      <c r="A2" s="28" t="s">
        <v>73</v>
      </c>
      <c r="B2" s="28" t="s">
        <v>0</v>
      </c>
      <c r="C2" s="92" t="s">
        <v>114</v>
      </c>
      <c r="D2" s="32" t="s">
        <v>115</v>
      </c>
      <c r="E2" s="32" t="s">
        <v>118</v>
      </c>
      <c r="F2" s="92" t="s">
        <v>142</v>
      </c>
      <c r="G2" s="32" t="s">
        <v>143</v>
      </c>
      <c r="H2" s="32" t="s">
        <v>144</v>
      </c>
      <c r="I2" s="28" t="s">
        <v>90</v>
      </c>
    </row>
    <row r="3" spans="1:10" x14ac:dyDescent="0.25">
      <c r="A3" s="29">
        <v>1</v>
      </c>
      <c r="B3" s="69" t="s">
        <v>60</v>
      </c>
      <c r="C3" s="20">
        <f>VLOOKUP(B3,[2]Трансп!A$2:CP$32,55,FALSE)/1000</f>
        <v>7218.4709999999995</v>
      </c>
      <c r="D3" s="30">
        <f>VLOOKUP(B3,[2]Трансп!A$2:CP$32,60,FALSE)</f>
        <v>100</v>
      </c>
      <c r="E3" s="30" t="s">
        <v>85</v>
      </c>
      <c r="F3" s="20">
        <f>VLOOKUP(B3,[2]Трансп!A$2:CP$32,53,FALSE)/1000</f>
        <v>1553.961</v>
      </c>
      <c r="G3" s="30">
        <f>VLOOKUP(B3,[2]Трансп!A$2:CP$32,58,FALSE)</f>
        <v>100</v>
      </c>
      <c r="H3" s="30" t="s">
        <v>85</v>
      </c>
      <c r="I3" s="30">
        <f>(C3/F3-1)*100</f>
        <v>364.52073121526212</v>
      </c>
      <c r="J3" s="63">
        <v>7704784072</v>
      </c>
    </row>
    <row r="4" spans="1:10" x14ac:dyDescent="0.25">
      <c r="A4" s="29">
        <v>2</v>
      </c>
      <c r="B4" s="69" t="s">
        <v>68</v>
      </c>
      <c r="C4" s="20">
        <f>VLOOKUP(B4,[2]Трансп!A$2:CP$32,55,FALSE)/1000</f>
        <v>4070.3054139999999</v>
      </c>
      <c r="D4" s="30">
        <f>VLOOKUP(B4,[2]Трансп!A$2:CP$32,60,FALSE)*100</f>
        <v>73.657687349158707</v>
      </c>
      <c r="E4" s="30" t="s">
        <v>85</v>
      </c>
      <c r="F4" s="20">
        <f>VLOOKUP(B4,[2]Трансп!A$2:CP$32,53,FALSE)/1000</f>
        <v>1598.3867190000001</v>
      </c>
      <c r="G4" s="30">
        <f>VLOOKUP(B4,[2]Трансп!A$2:CP$32,58,FALSE)*100</f>
        <v>15.988464929180884</v>
      </c>
      <c r="H4" s="30" t="s">
        <v>85</v>
      </c>
      <c r="I4" s="30">
        <f t="shared" ref="I4:I22" si="0">(C4/F4-1)*100</f>
        <v>154.6508529892258</v>
      </c>
      <c r="J4" s="63" t="s">
        <v>168</v>
      </c>
    </row>
    <row r="5" spans="1:10" x14ac:dyDescent="0.25">
      <c r="A5" s="29">
        <v>3</v>
      </c>
      <c r="B5" s="69" t="s">
        <v>86</v>
      </c>
      <c r="C5" s="20">
        <f>VLOOKUP(B5,[2]Трансп!A$2:CP$32,55,FALSE)/1000</f>
        <v>3887.0497370000003</v>
      </c>
      <c r="D5" s="30">
        <f>VLOOKUP(B5,[2]Трансп!A$2:CP$32,60,FALSE)*100</f>
        <v>28.434719048721036</v>
      </c>
      <c r="E5" s="30">
        <f>VLOOKUP(B5,[2]Трансп!A$2:CP$32,64,FALSE)*100</f>
        <v>19</v>
      </c>
      <c r="F5" s="20">
        <f>VLOOKUP(B5,[2]Трансп!A$2:CP$32,53,FALSE)/1000</f>
        <v>2590.0659999999998</v>
      </c>
      <c r="G5" s="30">
        <f>VLOOKUP(B5,[2]Трансп!A$2:CP$32,58,FALSE)*100</f>
        <v>29.2</v>
      </c>
      <c r="H5" s="30">
        <f>VLOOKUP(B5,[2]Трансп!A$2:CP$32,62,FALSE)*100</f>
        <v>22.6</v>
      </c>
      <c r="I5" s="30">
        <f t="shared" si="0"/>
        <v>50.075316111635779</v>
      </c>
      <c r="J5" s="63" t="s">
        <v>145</v>
      </c>
    </row>
    <row r="6" spans="1:10" x14ac:dyDescent="0.25">
      <c r="A6" s="29">
        <v>4</v>
      </c>
      <c r="B6" s="76" t="s">
        <v>53</v>
      </c>
      <c r="C6" s="33">
        <f>VLOOKUP(B6,[2]Трансп!A$2:CP$32,55,FALSE)/1000</f>
        <v>3515.5406154399998</v>
      </c>
      <c r="D6" s="75">
        <f>VLOOKUP(B6,[2]Трансп!A$2:CP$32,60,FALSE)*100</f>
        <v>100</v>
      </c>
      <c r="E6" s="75">
        <f>VLOOKUP(B6,[2]Трансп!A$2:CP$32,64,FALSE)</f>
        <v>26.01</v>
      </c>
      <c r="F6" s="33">
        <f>VLOOKUP(B6,[2]Трансп!A$2:CP$32,53,FALSE)/1000</f>
        <v>2057.5789201400003</v>
      </c>
      <c r="G6" s="75">
        <f>VLOOKUP(B6,[2]Трансп!A$2:CP$32,58,FALSE)*100</f>
        <v>91.5</v>
      </c>
      <c r="H6" s="75">
        <f>VLOOKUP(B6,[2]Трансп!A$2:CP$32,62,FALSE)</f>
        <v>23.68</v>
      </c>
      <c r="I6" s="30">
        <f t="shared" si="0"/>
        <v>70.858117811626784</v>
      </c>
      <c r="J6" s="63" t="s">
        <v>149</v>
      </c>
    </row>
    <row r="7" spans="1:10" x14ac:dyDescent="0.25">
      <c r="A7" s="29">
        <v>5</v>
      </c>
      <c r="B7" s="69" t="s">
        <v>65</v>
      </c>
      <c r="C7" s="20">
        <f>VLOOKUP(B7,[2]Трансп!A$2:CP$32,55,FALSE)/1000</f>
        <v>2298.1089999999999</v>
      </c>
      <c r="D7" s="75">
        <v>69</v>
      </c>
      <c r="E7" s="75" t="s">
        <v>85</v>
      </c>
      <c r="F7" s="33">
        <f>VLOOKUP(B7,[2]Трансп!A$2:CP$32,53,FALSE)/1000</f>
        <v>1178.5170000000001</v>
      </c>
      <c r="G7" s="75">
        <v>66</v>
      </c>
      <c r="H7" s="30" t="s">
        <v>85</v>
      </c>
      <c r="I7" s="30">
        <f t="shared" si="0"/>
        <v>95.000072124542953</v>
      </c>
      <c r="J7" s="63" t="s">
        <v>146</v>
      </c>
    </row>
    <row r="8" spans="1:10" x14ac:dyDescent="0.25">
      <c r="A8" s="29">
        <v>6</v>
      </c>
      <c r="B8" s="69" t="s">
        <v>42</v>
      </c>
      <c r="C8" s="20">
        <f>VLOOKUP(B8,[2]Трансп!A$2:CP$32,55,FALSE)/1000</f>
        <v>2046.646</v>
      </c>
      <c r="D8" s="30">
        <f>VLOOKUP(B8,[2]Трансп!A$2:CP$32,60,FALSE)</f>
        <v>63.553833931222101</v>
      </c>
      <c r="E8" s="30">
        <f>VLOOKUP(B8,[2]Трансп!A$2:CP$32,64,FALSE)*100</f>
        <v>5.4564089794411945</v>
      </c>
      <c r="F8" s="20">
        <f>VLOOKUP(B8,[2]Трансп!A$2:CP$32,53,FALSE)/1000</f>
        <v>1499.1130000000001</v>
      </c>
      <c r="G8" s="30">
        <f>VLOOKUP(B8,[2]Трансп!A$2:CP$32,58,FALSE)</f>
        <v>51.098749727338763</v>
      </c>
      <c r="H8" s="30">
        <f>VLOOKUP(B8,[2]Трансп!A$2:CP$32,62,FALSE)*100</f>
        <v>5.5365983416297002</v>
      </c>
      <c r="I8" s="30">
        <f t="shared" si="0"/>
        <v>36.523797739063028</v>
      </c>
      <c r="J8" s="63" t="s">
        <v>148</v>
      </c>
    </row>
    <row r="9" spans="1:10" x14ac:dyDescent="0.25">
      <c r="A9" s="29">
        <v>7</v>
      </c>
      <c r="B9" s="69" t="s">
        <v>46</v>
      </c>
      <c r="C9" s="20">
        <f>VLOOKUP(B9,[2]Трансп!A$2:CP$32,55,FALSE)/1000</f>
        <v>1958.7080000000001</v>
      </c>
      <c r="D9" s="30">
        <f>VLOOKUP(B9,[2]Трансп!A$2:CP$32,60,FALSE)*100</f>
        <v>1</v>
      </c>
      <c r="E9" s="30">
        <f>VLOOKUP(B9,[2]Трансп!A$2:CP$32,64,FALSE)*100</f>
        <v>62</v>
      </c>
      <c r="F9" s="20">
        <f>VLOOKUP(B9,[2]Трансп!A$2:CP$32,53,FALSE)/1000</f>
        <v>2279.1880000000001</v>
      </c>
      <c r="G9" s="30">
        <f>VLOOKUP(B9,[2]Трансп!A$2:CP$32,58,FALSE)*100</f>
        <v>0</v>
      </c>
      <c r="H9" s="30">
        <f>VLOOKUP(B9,[2]Трансп!A$2:CP$32,62,FALSE)*100</f>
        <v>86</v>
      </c>
      <c r="I9" s="30">
        <f t="shared" si="0"/>
        <v>-14.0611480930928</v>
      </c>
      <c r="J9" s="63">
        <v>5410059568</v>
      </c>
    </row>
    <row r="10" spans="1:10" s="37" customFormat="1" x14ac:dyDescent="0.25">
      <c r="A10" s="29">
        <v>8</v>
      </c>
      <c r="B10" s="69" t="s">
        <v>59</v>
      </c>
      <c r="C10" s="20">
        <f>VLOOKUP(B10,[2]Трансп!A$2:CP$32,55,FALSE)/1000</f>
        <v>1681.201</v>
      </c>
      <c r="D10" s="30">
        <f>VLOOKUP(B10,[2]Трансп!A$2:CP$32,60,FALSE)</f>
        <v>100</v>
      </c>
      <c r="E10" s="30">
        <f>VLOOKUP(B10,[2]Трансп!A$2:CP$32,64,FALSE)</f>
        <v>16</v>
      </c>
      <c r="F10" s="20">
        <f>VLOOKUP(B10,[2]Трансп!A$2:CP$32,53,FALSE)/1000</f>
        <v>714.52499999999998</v>
      </c>
      <c r="G10" s="30">
        <f>VLOOKUP(B10,[2]Трансп!A$2:CP$32,58,FALSE)</f>
        <v>100</v>
      </c>
      <c r="H10" s="30">
        <f>VLOOKUP(B10,[2]Трансп!A$2:CP$32,62,FALSE)</f>
        <v>0.8</v>
      </c>
      <c r="I10" s="30">
        <f t="shared" si="0"/>
        <v>135.2893180784437</v>
      </c>
      <c r="J10" s="67">
        <v>7724889891</v>
      </c>
    </row>
    <row r="11" spans="1:10" x14ac:dyDescent="0.25">
      <c r="A11" s="29">
        <v>9</v>
      </c>
      <c r="B11" s="69" t="s">
        <v>56</v>
      </c>
      <c r="C11" s="20">
        <f>VLOOKUP(B11,[2]Трансп!A$2:CP$32,55,FALSE)/1000</f>
        <v>1679.85960991</v>
      </c>
      <c r="D11" s="30">
        <f>VLOOKUP(B11,[2]Трансп!A$2:CP$32,60,FALSE)</f>
        <v>100</v>
      </c>
      <c r="E11" s="30">
        <f>VLOOKUP(B11,[2]Трансп!A$2:CP$32,64,FALSE)*100</f>
        <v>21.002686288250409</v>
      </c>
      <c r="F11" s="20">
        <f>VLOOKUP(B11,[2]Трансп!A$2:CP$32,53,FALSE)/1000</f>
        <v>1335.5808319999999</v>
      </c>
      <c r="G11" s="30">
        <f>VLOOKUP(B11,[2]Трансп!A$2:CP$32,58,FALSE)</f>
        <v>100</v>
      </c>
      <c r="H11" s="30">
        <f>VLOOKUP(B11,[2]Трансп!A$2:CP$32,62,FALSE)*100</f>
        <v>17.695290704477802</v>
      </c>
      <c r="I11" s="30">
        <f t="shared" si="0"/>
        <v>25.777457242662805</v>
      </c>
      <c r="J11" s="63">
        <v>7730634468</v>
      </c>
    </row>
    <row r="12" spans="1:10" x14ac:dyDescent="0.25">
      <c r="A12" s="29">
        <v>10</v>
      </c>
      <c r="B12" s="69" t="s">
        <v>69</v>
      </c>
      <c r="C12" s="20">
        <f>VLOOKUP(B12,[2]Трансп!A$2:CP$32,55,FALSE)/1000</f>
        <v>1573.4449999999999</v>
      </c>
      <c r="D12" s="30">
        <f>VLOOKUP(B12,[2]Трансп!A$2:CP$32,60,FALSE)*100</f>
        <v>100</v>
      </c>
      <c r="E12" s="30">
        <f>VLOOKUP(B12,[2]Трансп!A$2:CP$32,64,FALSE)*100</f>
        <v>20</v>
      </c>
      <c r="F12" s="20">
        <f>VLOOKUP(B12,[2]Трансп!A$2:CP$32,53,FALSE)/1000</f>
        <v>1174.9110000000001</v>
      </c>
      <c r="G12" s="30">
        <f>VLOOKUP(B12,[2]Трансп!A$2:CP$32,58,FALSE)*100</f>
        <v>100</v>
      </c>
      <c r="H12" s="30">
        <f>VLOOKUP(B12,[2]Трансп!A$2:CP$32,62,FALSE)*100</f>
        <v>10</v>
      </c>
      <c r="I12" s="30">
        <f t="shared" si="0"/>
        <v>33.920356520621553</v>
      </c>
      <c r="J12" s="63">
        <v>7716748537</v>
      </c>
    </row>
    <row r="13" spans="1:10" x14ac:dyDescent="0.25">
      <c r="A13" s="29">
        <v>11</v>
      </c>
      <c r="B13" s="76" t="s">
        <v>63</v>
      </c>
      <c r="C13" s="33">
        <f>VLOOKUP(B13,[2]Трансп!A$2:CP$32,55,FALSE)/1000</f>
        <v>1017.2607744400001</v>
      </c>
      <c r="D13" s="75">
        <f>VLOOKUP(B13,[2]Трансп!A$2:CP$32,60,FALSE)*100</f>
        <v>92.249190938511333</v>
      </c>
      <c r="E13" s="75">
        <f>VLOOKUP(B13,[2]Трансп!A$2:CP$32,64,FALSE)*100</f>
        <v>57.251734142354302</v>
      </c>
      <c r="F13" s="33">
        <f>VLOOKUP(B13,[2]Трансп!A$2:CP$32,53,FALSE)/1000</f>
        <v>701.57100000000003</v>
      </c>
      <c r="G13" s="75">
        <f>VLOOKUP(B13,[2]Трансп!A$2:CP$32,58,FALSE)*100</f>
        <v>47.88</v>
      </c>
      <c r="H13" s="75">
        <f>VLOOKUP(B13,[2]Трансп!A$2:CP$32,62,FALSE)*100</f>
        <v>43.9</v>
      </c>
      <c r="I13" s="30">
        <f t="shared" si="0"/>
        <v>44.997551842935366</v>
      </c>
      <c r="J13" s="63" t="s">
        <v>151</v>
      </c>
    </row>
    <row r="14" spans="1:10" s="37" customFormat="1" x14ac:dyDescent="0.25">
      <c r="A14" s="29">
        <v>12</v>
      </c>
      <c r="B14" s="69" t="s">
        <v>66</v>
      </c>
      <c r="C14" s="20">
        <f>VLOOKUP(B14,[2]Трансп!A$2:CP$32,55,FALSE)/1000</f>
        <v>387.21800000000002</v>
      </c>
      <c r="D14" s="30">
        <f>VLOOKUP(B14,[2]Трансп!A$2:CP$32,60,FALSE)</f>
        <v>56.61</v>
      </c>
      <c r="E14" s="30">
        <f>VLOOKUP(B14,[2]Трансп!A$2:CP$32,64,FALSE)</f>
        <v>24.6</v>
      </c>
      <c r="F14" s="20">
        <f>VLOOKUP(B14,[2]Трансп!A$2:CP$32,53,FALSE)/1000</f>
        <v>198.71899999999999</v>
      </c>
      <c r="G14" s="30">
        <f>VLOOKUP(B14,[2]Трансп!A$2:CP$32,58,FALSE)</f>
        <v>6.15</v>
      </c>
      <c r="H14" s="30">
        <f>VLOOKUP(B14,[2]Трансп!A$2:CP$32,62,FALSE)</f>
        <v>8.58</v>
      </c>
      <c r="I14" s="30">
        <f t="shared" si="0"/>
        <v>94.857059465878962</v>
      </c>
      <c r="J14" s="67">
        <v>4205219217</v>
      </c>
    </row>
    <row r="15" spans="1:10" x14ac:dyDescent="0.25">
      <c r="A15" s="29">
        <v>13</v>
      </c>
      <c r="B15" s="69" t="s">
        <v>64</v>
      </c>
      <c r="C15" s="20">
        <f>VLOOKUP(B15,[2]Трансп!A$2:CP$32,55,FALSE)/1000</f>
        <v>338.7</v>
      </c>
      <c r="D15" s="30">
        <f>VLOOKUP(B15,[2]Трансп!A$2:CP$32,60,FALSE)</f>
        <v>0</v>
      </c>
      <c r="E15" s="30">
        <f>VLOOKUP(B15,[2]Трансп!A$2:CP$32,64,FALSE)</f>
        <v>16</v>
      </c>
      <c r="F15" s="20">
        <f>VLOOKUP(B15,[2]Трансп!A$2:CP$32,53,FALSE)/1000</f>
        <v>503.00099999999998</v>
      </c>
      <c r="G15" s="30">
        <f>VLOOKUP(B15,[2]Трансп!A$2:CP$32,58,FALSE)</f>
        <v>0</v>
      </c>
      <c r="H15" s="30">
        <f>VLOOKUP(B15,[2]Трансп!A$2:CP$32,62,FALSE)</f>
        <v>9</v>
      </c>
      <c r="I15" s="30">
        <f t="shared" si="0"/>
        <v>-32.664149773062078</v>
      </c>
      <c r="J15" s="63">
        <v>5260271530</v>
      </c>
    </row>
    <row r="16" spans="1:10" x14ac:dyDescent="0.25">
      <c r="A16" s="29">
        <v>14</v>
      </c>
      <c r="B16" s="69" t="s">
        <v>51</v>
      </c>
      <c r="C16" s="20">
        <f>VLOOKUP(B16,[2]Трансп!A$2:CP$32,55,FALSE)/1000</f>
        <v>325.77600000000001</v>
      </c>
      <c r="D16" s="30">
        <f>VLOOKUP(B16,[2]Трансп!A$2:CP$32,60,FALSE)</f>
        <v>100</v>
      </c>
      <c r="E16" s="30" t="s">
        <v>85</v>
      </c>
      <c r="F16" s="20">
        <f>VLOOKUP(B16,[2]Трансп!A$2:CP$32,53,FALSE)/1000</f>
        <v>86.477000000000004</v>
      </c>
      <c r="G16" s="30">
        <f>VLOOKUP(B16,[2]Трансп!A$2:CP$32,58,FALSE)</f>
        <v>100</v>
      </c>
      <c r="H16" s="30" t="s">
        <v>85</v>
      </c>
      <c r="I16" s="30">
        <f t="shared" si="0"/>
        <v>276.71982145541591</v>
      </c>
      <c r="J16" s="63">
        <v>7704493556</v>
      </c>
    </row>
    <row r="17" spans="1:10" x14ac:dyDescent="0.25">
      <c r="A17" s="29">
        <v>15</v>
      </c>
      <c r="B17" s="69" t="s">
        <v>54</v>
      </c>
      <c r="C17" s="20">
        <f>VLOOKUP(B17,[2]Трансп!A$2:CP$32,55,FALSE)/1000</f>
        <v>259.45400000000001</v>
      </c>
      <c r="D17" s="30">
        <f>VLOOKUP(B17,[2]Трансп!A$2:CP$32,60,FALSE)</f>
        <v>1</v>
      </c>
      <c r="E17" s="30">
        <f>VLOOKUP(B17,[2]Трансп!A$2:CP$32,64,FALSE)*100</f>
        <v>14.608106380258279</v>
      </c>
      <c r="F17" s="20">
        <f>VLOOKUP(B17,[2]Трансп!A$2:CP$32,53,FALSE)/1000</f>
        <v>52.411000000000001</v>
      </c>
      <c r="G17" s="30">
        <f>VLOOKUP(B17,[2]Трансп!A$2:CP$32,58,FALSE)</f>
        <v>1</v>
      </c>
      <c r="H17" s="30">
        <f>VLOOKUP(B17,[2]Трансп!A$2:CP$32,62,FALSE)*100</f>
        <v>7.4587052426387608</v>
      </c>
      <c r="I17" s="30">
        <f t="shared" si="0"/>
        <v>395.03730132987351</v>
      </c>
      <c r="J17" s="63">
        <v>4205271785</v>
      </c>
    </row>
    <row r="18" spans="1:10" x14ac:dyDescent="0.25">
      <c r="A18" s="29">
        <v>16</v>
      </c>
      <c r="B18" s="69" t="s">
        <v>62</v>
      </c>
      <c r="C18" s="20">
        <f>VLOOKUP(B18,[2]Трансп!A$2:CP$32,55,FALSE)/1000</f>
        <v>247.97</v>
      </c>
      <c r="D18" s="30">
        <f>VLOOKUP(B18,[2]Трансп!A$2:CP$32,60,FALSE)</f>
        <v>0</v>
      </c>
      <c r="E18" s="30">
        <f>VLOOKUP(B18,[2]Трансп!A$2:CP$32,64,FALSE)*100</f>
        <v>15.39</v>
      </c>
      <c r="F18" s="20">
        <f>VLOOKUP(B18,[2]Трансп!A$2:CP$32,53,FALSE)/1000</f>
        <v>155.24</v>
      </c>
      <c r="G18" s="30">
        <f>VLOOKUP(B18,[2]Трансп!A$2:CP$32,58,FALSE)</f>
        <v>0</v>
      </c>
      <c r="H18" s="30">
        <f>VLOOKUP(B18,[2]Трансп!A$2:CP$32,62,FALSE)*100</f>
        <v>9.8000000000000007</v>
      </c>
      <c r="I18" s="30">
        <f t="shared" si="0"/>
        <v>59.733316155629979</v>
      </c>
      <c r="J18" s="63">
        <v>7838492459</v>
      </c>
    </row>
    <row r="19" spans="1:10" x14ac:dyDescent="0.25">
      <c r="A19" s="29">
        <v>17</v>
      </c>
      <c r="B19" s="69" t="s">
        <v>67</v>
      </c>
      <c r="C19" s="20">
        <f>VLOOKUP(B19,[2]Трансп!A$2:CP$32,55,FALSE)/1000</f>
        <v>141.886</v>
      </c>
      <c r="D19" s="30">
        <f>VLOOKUP(B19,[2]Трансп!A$2:CP$32,60,FALSE)</f>
        <v>0</v>
      </c>
      <c r="E19" s="30">
        <f>VLOOKUP(B19,[2]Трансп!A$2:CP$32,64,FALSE)</f>
        <v>34</v>
      </c>
      <c r="F19" s="20">
        <f>VLOOKUP(B19,[2]Трансп!A$2:CP$32,53,FALSE)/1000</f>
        <v>195.05799999999999</v>
      </c>
      <c r="G19" s="30">
        <f>VLOOKUP(B19,[2]Трансп!A$2:CP$32,58,FALSE)</f>
        <v>0</v>
      </c>
      <c r="H19" s="30">
        <f>VLOOKUP(B19,[2]Трансп!A$2:CP$32,62,FALSE)</f>
        <v>34</v>
      </c>
      <c r="I19" s="30">
        <f t="shared" si="0"/>
        <v>-27.259584328763754</v>
      </c>
      <c r="J19" s="63">
        <v>1831178411</v>
      </c>
    </row>
    <row r="20" spans="1:10" x14ac:dyDescent="0.25">
      <c r="A20" s="29">
        <v>18</v>
      </c>
      <c r="B20" s="69" t="s">
        <v>47</v>
      </c>
      <c r="C20" s="20">
        <f>VLOOKUP(B20,[2]Трансп!A$2:CP$32,55,FALSE)/1000</f>
        <v>109.453</v>
      </c>
      <c r="D20" s="30" t="s">
        <v>85</v>
      </c>
      <c r="E20" s="30" t="s">
        <v>85</v>
      </c>
      <c r="F20" s="20">
        <f>VLOOKUP(B20,[2]Трансп!A$2:CP$32,53,FALSE)/1000</f>
        <v>500.084</v>
      </c>
      <c r="G20" s="30" t="s">
        <v>85</v>
      </c>
      <c r="H20" s="30" t="s">
        <v>85</v>
      </c>
      <c r="I20" s="30">
        <f t="shared" si="0"/>
        <v>-78.113077003063495</v>
      </c>
      <c r="J20" s="63">
        <v>5407487242</v>
      </c>
    </row>
    <row r="21" spans="1:10" x14ac:dyDescent="0.25">
      <c r="A21" s="29">
        <v>19</v>
      </c>
      <c r="B21" s="69" t="s">
        <v>61</v>
      </c>
      <c r="C21" s="20">
        <f>VLOOKUP(B21,[2]Трансп!A$2:CP$32,55,FALSE)/1000</f>
        <v>69.290000000000006</v>
      </c>
      <c r="D21" s="30">
        <f>VLOOKUP(B21,[2]Трансп!A$2:CP$32,60,FALSE)*100</f>
        <v>82</v>
      </c>
      <c r="E21" s="30" t="s">
        <v>85</v>
      </c>
      <c r="F21" s="20">
        <f>VLOOKUP(B21,[2]Трансп!A$2:CP$32,53,FALSE)/1000</f>
        <v>36.774000000000001</v>
      </c>
      <c r="G21" s="30">
        <f>VLOOKUP(B21,[2]Трансп!A$2:CP$32,58,FALSE)*100</f>
        <v>1</v>
      </c>
      <c r="H21" s="30" t="s">
        <v>85</v>
      </c>
      <c r="I21" s="30">
        <f t="shared" si="0"/>
        <v>88.421167128949804</v>
      </c>
      <c r="J21" s="63">
        <v>7705974076</v>
      </c>
    </row>
    <row r="22" spans="1:10" x14ac:dyDescent="0.25">
      <c r="A22" s="29">
        <v>20</v>
      </c>
      <c r="B22" s="69" t="s">
        <v>50</v>
      </c>
      <c r="C22" s="20">
        <f>VLOOKUP(B22,[2]Трансп!A$2:CP$32,55,FALSE)/1000</f>
        <v>0.26200000000000001</v>
      </c>
      <c r="D22" s="30">
        <f>VLOOKUP(B22,[2]Трансп!A$2:CP$32,60,FALSE)</f>
        <v>0.31</v>
      </c>
      <c r="E22" s="30">
        <f>VLOOKUP(B22,[2]Трансп!A$2:CP$32,64,FALSE)*100</f>
        <v>0</v>
      </c>
      <c r="F22" s="20">
        <f>VLOOKUP(B22,[2]Трансп!A$2:CP$32,53,FALSE)/1000</f>
        <v>0.61599999999999999</v>
      </c>
      <c r="G22" s="30">
        <f>VLOOKUP(B22,[2]Трансп!A$2:CP$32,58,FALSE)</f>
        <v>0</v>
      </c>
      <c r="H22" s="30">
        <f>VLOOKUP(B22,[2]Трансп!A$2:CP$32,62,FALSE)*100</f>
        <v>0</v>
      </c>
      <c r="I22" s="30">
        <f t="shared" si="0"/>
        <v>-57.467532467532465</v>
      </c>
      <c r="J22" s="63">
        <v>2465260220</v>
      </c>
    </row>
  </sheetData>
  <sortState xmlns:xlrd2="http://schemas.microsoft.com/office/spreadsheetml/2017/richdata2" ref="A3:I22">
    <sortCondition descending="1" ref="C3:C22"/>
  </sortState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91D7D-01CE-45F9-A255-F8F99BF035F7}">
  <dimension ref="A1:N68"/>
  <sheetViews>
    <sheetView topLeftCell="A38" workbookViewId="0">
      <selection activeCell="J62" sqref="J62"/>
    </sheetView>
  </sheetViews>
  <sheetFormatPr defaultRowHeight="15" x14ac:dyDescent="0.25"/>
  <cols>
    <col min="2" max="2" width="95.7109375" customWidth="1"/>
    <col min="4" max="4" width="9.140625" style="82"/>
    <col min="7" max="7" width="9.140625" style="82"/>
  </cols>
  <sheetData>
    <row r="1" spans="1:14" s="35" customFormat="1" x14ac:dyDescent="0.25">
      <c r="A1" s="46" t="s">
        <v>123</v>
      </c>
      <c r="D1" s="54"/>
      <c r="G1" s="54"/>
      <c r="J1" s="50"/>
    </row>
    <row r="2" spans="1:14" s="35" customFormat="1" ht="15" customHeight="1" x14ac:dyDescent="0.25">
      <c r="A2" s="98" t="s">
        <v>2</v>
      </c>
      <c r="B2" s="98" t="s">
        <v>0</v>
      </c>
      <c r="C2" s="107" t="s">
        <v>87</v>
      </c>
      <c r="D2" s="107"/>
      <c r="E2" s="107"/>
      <c r="F2" s="108" t="s">
        <v>77</v>
      </c>
      <c r="G2" s="109"/>
      <c r="H2" s="110"/>
      <c r="I2" s="107" t="s">
        <v>119</v>
      </c>
      <c r="J2" s="50"/>
    </row>
    <row r="3" spans="1:14" s="35" customFormat="1" ht="101.25" x14ac:dyDescent="0.25">
      <c r="A3" s="98"/>
      <c r="B3" s="98"/>
      <c r="C3" s="51" t="s">
        <v>120</v>
      </c>
      <c r="D3" s="81" t="s">
        <v>121</v>
      </c>
      <c r="E3" s="51" t="s">
        <v>122</v>
      </c>
      <c r="F3" s="51" t="s">
        <v>120</v>
      </c>
      <c r="G3" s="81" t="s">
        <v>121</v>
      </c>
      <c r="H3" s="51" t="s">
        <v>122</v>
      </c>
      <c r="I3" s="107"/>
      <c r="J3" s="50"/>
    </row>
    <row r="4" spans="1:14" x14ac:dyDescent="0.25">
      <c r="B4" t="s">
        <v>5</v>
      </c>
      <c r="C4" s="11">
        <f>VLOOKUP(B4,[1]Трансп!A$3:U$39,10,FALSE)/1000</f>
        <v>814.94677000000001</v>
      </c>
      <c r="D4" s="82">
        <f>(1-VLOOKUP(B4,[1]Трансп!A$3:U$39,14,FALSE)/VLOOKUP(B4,[1]Трансп!A$3:U$39,10,FALSE))*100</f>
        <v>0.48053592506415166</v>
      </c>
      <c r="E4" s="11">
        <f>VLOOKUP(B4,[1]Трансп!A$3:U$39,17,FALSE)/1000</f>
        <v>198.296055</v>
      </c>
      <c r="F4" s="11">
        <f>VLOOKUP(B4,[1]Трансп!A$3:U$39,8,FALSE)/1000</f>
        <v>445.37513000000001</v>
      </c>
      <c r="G4" s="82">
        <f>(1-VLOOKUP(B4,[1]Трансп!A$3:U$39,12,FALSE)/VLOOKUP(B4,[1]Трансп!A$3:U$39,8,FALSE))*100</f>
        <v>2.3364865478680885</v>
      </c>
      <c r="H4" s="11">
        <f>VLOOKUP(B4,[1]Трансп!A$3:U$39,15,FALSE)/1000</f>
        <v>0</v>
      </c>
      <c r="L4">
        <f>(1-VLOOKUP(B4,[1]Трансп!A$3:U$39,12,FALSE)/VLOOKUP(B4,[1]Трансп!A$3:U$39,8,FALSE))*100</f>
        <v>2.3364865478680885</v>
      </c>
      <c r="N4" s="80">
        <f>(1-VLOOKUP(B4,[1]Трансп!A$3:U$39,14,FALSE)/VLOOKUP(B4,[1]Трансп!A$3:U$39,10,FALSE))*100</f>
        <v>0.48053592506415166</v>
      </c>
    </row>
    <row r="5" spans="1:14" x14ac:dyDescent="0.25">
      <c r="B5" t="s">
        <v>6</v>
      </c>
      <c r="C5" s="11">
        <f>VLOOKUP(B5,[1]Трансп!A$3:U$39,10,FALSE)/1000</f>
        <v>199.81800000000001</v>
      </c>
      <c r="D5" s="82">
        <f>(1-VLOOKUP(B5,[1]Трансп!A$3:U$39,14,FALSE)/VLOOKUP(B5,[1]Трансп!A$3:U$39,10,FALSE))*100</f>
        <v>1.1660611156152134</v>
      </c>
      <c r="E5" s="11">
        <f>VLOOKUP(B5,[1]Трансп!A$3:U$39,17,FALSE)/1000</f>
        <v>0</v>
      </c>
      <c r="F5" s="11">
        <f>VLOOKUP(B5,[1]Трансп!A$3:U$39,8,FALSE)/1000</f>
        <v>161.21600000000001</v>
      </c>
      <c r="G5" s="82">
        <f>(1-VLOOKUP(B5,[1]Трансп!A$3:U$39,12,FALSE)/VLOOKUP(B5,[1]Трансп!A$3:U$39,8,FALSE))*100</f>
        <v>0</v>
      </c>
      <c r="H5" s="11">
        <f>VLOOKUP(B5,[1]Трансп!A$3:U$39,15,FALSE)/1000</f>
        <v>0</v>
      </c>
    </row>
    <row r="6" spans="1:14" x14ac:dyDescent="0.25">
      <c r="B6" t="s">
        <v>7</v>
      </c>
      <c r="C6" s="11">
        <f>VLOOKUP(B6,[1]Трансп!A$3:U$39,10,FALSE)/1000</f>
        <v>719.99569799999995</v>
      </c>
      <c r="D6" s="82">
        <f>(1-VLOOKUP(B6,[1]Трансп!A$3:U$39,14,FALSE)/VLOOKUP(B6,[1]Трансп!A$3:U$39,10,FALSE))*100</f>
        <v>8.1355622210953822</v>
      </c>
      <c r="E6" s="11">
        <f>VLOOKUP(B6,[1]Трансп!A$3:U$39,17,FALSE)/1000</f>
        <v>73</v>
      </c>
      <c r="F6" s="11">
        <f>VLOOKUP(B6,[1]Трансп!A$3:U$39,8,FALSE)/1000</f>
        <v>530.81035600000007</v>
      </c>
      <c r="G6" s="82">
        <f>(1-VLOOKUP(B6,[1]Трансп!A$3:U$39,12,FALSE)/VLOOKUP(B6,[1]Трансп!A$3:U$39,8,FALSE))*100</f>
        <v>13.149396052853202</v>
      </c>
      <c r="H6" s="11">
        <f>VLOOKUP(B6,[1]Трансп!A$3:U$39,15,FALSE)/1000</f>
        <v>24.5</v>
      </c>
    </row>
    <row r="7" spans="1:14" x14ac:dyDescent="0.25">
      <c r="B7" t="s">
        <v>8</v>
      </c>
      <c r="C7" s="11">
        <f>VLOOKUP(B7,[1]Трансп!A$3:U$39,10,FALSE)/1000</f>
        <v>494.49</v>
      </c>
      <c r="D7" s="82">
        <f>(1-VLOOKUP(B7,[1]Трансп!A$3:U$39,14,FALSE)/VLOOKUP(B7,[1]Трансп!A$3:U$39,10,FALSE))*100</f>
        <v>3.3608364173188576</v>
      </c>
      <c r="E7" s="11">
        <f>VLOOKUP(B7,[1]Трансп!A$3:U$39,17,FALSE)/1000</f>
        <v>0.33</v>
      </c>
      <c r="F7" s="11">
        <f>VLOOKUP(B7,[1]Трансп!A$3:U$39,8,FALSE)/1000</f>
        <v>391.98899999999998</v>
      </c>
      <c r="G7" s="82">
        <f>(1-VLOOKUP(B7,[1]Трансп!A$3:U$39,12,FALSE)/VLOOKUP(B7,[1]Трансп!A$3:U$39,8,FALSE))*100</f>
        <v>4.7690113753192094</v>
      </c>
      <c r="H7" s="11">
        <f>VLOOKUP(B7,[1]Трансп!A$3:U$39,15,FALSE)/1000</f>
        <v>0.33400000000000002</v>
      </c>
    </row>
    <row r="8" spans="1:14" x14ac:dyDescent="0.25">
      <c r="B8" t="s">
        <v>9</v>
      </c>
      <c r="C8" s="11">
        <f>VLOOKUP(B8,[1]Трансп!A$3:U$39,10,FALSE)/1000</f>
        <v>664.553</v>
      </c>
      <c r="D8" s="82">
        <f>(1-VLOOKUP(B8,[1]Трансп!A$3:U$39,14,FALSE)/VLOOKUP(B8,[1]Трансп!A$3:U$39,10,FALSE))*100</f>
        <v>1.296661063903104</v>
      </c>
      <c r="E8" s="11">
        <f>VLOOKUP(B8,[1]Трансп!A$3:U$39,17,FALSE)/1000</f>
        <v>0</v>
      </c>
      <c r="F8" s="11">
        <f>VLOOKUP(B8,[1]Трансп!A$3:U$39,8,FALSE)/1000</f>
        <v>507.27100000000002</v>
      </c>
      <c r="G8" s="82">
        <f>(1-VLOOKUP(B8,[1]Трансп!A$3:U$39,12,FALSE)/VLOOKUP(B8,[1]Трансп!A$3:U$39,8,FALSE))*100</f>
        <v>1.7101312710563032</v>
      </c>
      <c r="H8" s="11">
        <f>VLOOKUP(B8,[1]Трансп!A$3:U$39,15,FALSE)/1000</f>
        <v>0</v>
      </c>
    </row>
    <row r="9" spans="1:14" x14ac:dyDescent="0.25">
      <c r="B9" t="s">
        <v>10</v>
      </c>
      <c r="C9" s="11">
        <f>VLOOKUP(B9,[1]Трансп!A$3:U$39,10,FALSE)/1000</f>
        <v>768.19500000000005</v>
      </c>
      <c r="D9" s="82">
        <f>(1-VLOOKUP(B9,[1]Трансп!A$3:U$39,14,FALSE)/VLOOKUP(B9,[1]Трансп!A$3:U$39,10,FALSE))*100</f>
        <v>0.49818080044780055</v>
      </c>
      <c r="E9" s="11">
        <f>VLOOKUP(B9,[1]Трансп!A$3:U$39,17,FALSE)/1000</f>
        <v>62.645000000000003</v>
      </c>
      <c r="F9" s="11">
        <f>VLOOKUP(B9,[1]Трансп!A$3:U$39,8,FALSE)/1000</f>
        <v>577.99599999999998</v>
      </c>
      <c r="G9" s="82">
        <f>(1-VLOOKUP(B9,[1]Трансп!A$3:U$39,12,FALSE)/VLOOKUP(B9,[1]Трансп!A$3:U$39,8,FALSE))*100</f>
        <v>4.1529699167468292</v>
      </c>
      <c r="H9" s="11">
        <f>VLOOKUP(B9,[1]Трансп!A$3:U$39,15,FALSE)/1000</f>
        <v>86.272999999999996</v>
      </c>
    </row>
    <row r="10" spans="1:14" x14ac:dyDescent="0.25">
      <c r="B10" t="s">
        <v>11</v>
      </c>
      <c r="C10" s="11">
        <f>VLOOKUP(B10,[1]Трансп!A$3:U$39,10,FALSE)/1000</f>
        <v>85.304000000000002</v>
      </c>
      <c r="D10" s="82">
        <f>(1-VLOOKUP(B10,[1]Трансп!A$3:U$39,14,FALSE)/VLOOKUP(B10,[1]Трансп!A$3:U$39,10,FALSE))*100</f>
        <v>0</v>
      </c>
      <c r="E10" s="11">
        <f>VLOOKUP(B10,[1]Трансп!A$3:U$39,17,FALSE)/1000</f>
        <v>0</v>
      </c>
      <c r="F10" s="11">
        <f>VLOOKUP(B10,[1]Трансп!A$3:U$39,8,FALSE)/1000</f>
        <v>42.494</v>
      </c>
      <c r="G10" s="82">
        <f>(1-VLOOKUP(B10,[1]Трансп!A$3:U$39,12,FALSE)/VLOOKUP(B10,[1]Трансп!A$3:U$39,8,FALSE))*100</f>
        <v>0</v>
      </c>
      <c r="H10" s="11">
        <f>VLOOKUP(B10,[1]Трансп!A$3:U$39,15,FALSE)/1000</f>
        <v>0</v>
      </c>
    </row>
    <row r="11" spans="1:14" x14ac:dyDescent="0.25">
      <c r="B11" t="s">
        <v>12</v>
      </c>
      <c r="C11" s="11">
        <f>VLOOKUP(B11,[1]Трансп!A$3:U$39,10,FALSE)/1000</f>
        <v>220.476</v>
      </c>
      <c r="D11" s="82">
        <f>(1-VLOOKUP(B11,[1]Трансп!A$3:U$39,14,FALSE)/VLOOKUP(B11,[1]Трансп!A$3:U$39,10,FALSE))*100</f>
        <v>0.98922331682359532</v>
      </c>
      <c r="E11" s="11">
        <f>VLOOKUP(B11,[1]Трансп!A$3:U$39,17,FALSE)/1000</f>
        <v>369.87</v>
      </c>
      <c r="F11" s="11">
        <f>VLOOKUP(B11,[1]Трансп!A$3:U$39,8,FALSE)/1000</f>
        <v>103.82299999999999</v>
      </c>
      <c r="G11" s="82">
        <f>(1-VLOOKUP(B11,[1]Трансп!A$3:U$39,12,FALSE)/VLOOKUP(B11,[1]Трансп!A$3:U$39,8,FALSE))*100</f>
        <v>1.6576288490989466</v>
      </c>
      <c r="H11" s="11">
        <f>VLOOKUP(B11,[1]Трансп!A$3:U$39,15,FALSE)/1000</f>
        <v>43</v>
      </c>
    </row>
    <row r="12" spans="1:14" x14ac:dyDescent="0.25">
      <c r="B12" t="s">
        <v>13</v>
      </c>
      <c r="C12" s="11">
        <f>VLOOKUP(B12,[1]Трансп!A$3:U$39,10,FALSE)/1000</f>
        <v>732.27300000000002</v>
      </c>
      <c r="D12" s="82">
        <f>(1-VLOOKUP(B12,[1]Трансп!A$3:U$39,14,FALSE)/VLOOKUP(B12,[1]Трансп!A$3:U$39,10,FALSE))*100</f>
        <v>1.2603223114876605</v>
      </c>
      <c r="E12" s="11">
        <f>VLOOKUP(B12,[1]Трансп!A$3:U$39,17,FALSE)/1000</f>
        <v>0</v>
      </c>
      <c r="F12" s="11">
        <f>VLOOKUP(B12,[1]Трансп!A$3:U$39,8,FALSE)/1000</f>
        <v>528.21</v>
      </c>
      <c r="G12" s="82">
        <f>(1-VLOOKUP(B12,[1]Трансп!A$3:U$39,12,FALSE)/VLOOKUP(B12,[1]Трансп!A$3:U$39,8,FALSE))*100</f>
        <v>1.0069858578974245</v>
      </c>
      <c r="H12" s="11">
        <f>VLOOKUP(B12,[1]Трансп!A$3:U$39,15,FALSE)/1000</f>
        <v>0</v>
      </c>
    </row>
    <row r="13" spans="1:14" x14ac:dyDescent="0.25">
      <c r="B13" t="s">
        <v>14</v>
      </c>
      <c r="C13" s="11">
        <f>VLOOKUP(B13,[1]Трансп!A$3:U$39,10,FALSE)/1000</f>
        <v>672.87400000000002</v>
      </c>
      <c r="D13" s="82">
        <f>(1-VLOOKUP(B13,[1]Трансп!A$3:U$39,14,FALSE)/VLOOKUP(B13,[1]Трансп!A$3:U$39,10,FALSE))*100</f>
        <v>2.4203639908809027</v>
      </c>
      <c r="E13" s="11">
        <f>VLOOKUP(B13,[1]Трансп!A$3:U$39,17,FALSE)/1000</f>
        <v>1.6519999999999999</v>
      </c>
      <c r="F13" s="11">
        <f>VLOOKUP(B13,[1]Трансп!A$3:U$39,8,FALSE)/1000</f>
        <v>561.88199999999995</v>
      </c>
      <c r="G13" s="82">
        <f>(1-VLOOKUP(B13,[1]Трансп!A$3:U$39,12,FALSE)/VLOOKUP(B13,[1]Трансп!A$3:U$39,8,FALSE))*100</f>
        <v>4.4365186996558004</v>
      </c>
      <c r="H13" s="11">
        <f>VLOOKUP(B13,[1]Трансп!A$3:U$39,15,FALSE)/1000</f>
        <v>4.5170000000000003</v>
      </c>
    </row>
    <row r="14" spans="1:14" x14ac:dyDescent="0.25">
      <c r="B14" t="s">
        <v>15</v>
      </c>
      <c r="C14" s="11">
        <f>VLOOKUP(B14,[1]Трансп!A$3:U$39,10,FALSE)/1000</f>
        <v>648.96951000000001</v>
      </c>
      <c r="D14" s="82">
        <f>(1-VLOOKUP(B14,[1]Трансп!A$3:U$39,14,FALSE)/VLOOKUP(B14,[1]Трансп!A$3:U$39,10,FALSE))*100</f>
        <v>2.8128424708273259</v>
      </c>
      <c r="E14" s="11">
        <f>VLOOKUP(B14,[1]Трансп!A$3:U$39,17,FALSE)/1000</f>
        <v>1E-3</v>
      </c>
      <c r="F14" s="11">
        <f>VLOOKUP(B14,[1]Трансп!A$3:U$39,8,FALSE)/1000</f>
        <v>555.03</v>
      </c>
      <c r="G14" s="82">
        <f>(1-VLOOKUP(B14,[1]Трансп!A$3:U$39,12,FALSE)/VLOOKUP(B14,[1]Трансп!A$3:U$39,8,FALSE))*100</f>
        <v>3.229555159180586</v>
      </c>
      <c r="H14" s="11">
        <f>VLOOKUP(B14,[1]Трансп!A$3:U$39,15,FALSE)/1000</f>
        <v>27.8</v>
      </c>
    </row>
    <row r="15" spans="1:14" x14ac:dyDescent="0.25">
      <c r="B15" t="s">
        <v>16</v>
      </c>
      <c r="C15" s="11">
        <f>VLOOKUP(B15,[1]Трансп!A$3:U$39,10,FALSE)/1000</f>
        <v>935.89800000000002</v>
      </c>
      <c r="D15" s="82">
        <f>(1-VLOOKUP(B15,[1]Трансп!A$3:U$39,14,FALSE)/VLOOKUP(B15,[1]Трансп!A$3:U$39,10,FALSE))*100</f>
        <v>0.76279680050603815</v>
      </c>
      <c r="E15" s="11">
        <f>VLOOKUP(B15,[1]Трансп!A$3:U$39,17,FALSE)/1000</f>
        <v>25.702000000000002</v>
      </c>
      <c r="F15" s="11">
        <f>VLOOKUP(B15,[1]Трансп!A$3:U$39,8,FALSE)/1000</f>
        <v>776.11500000000001</v>
      </c>
      <c r="G15" s="82">
        <f>(1-VLOOKUP(B15,[1]Трансп!A$3:U$39,12,FALSE)/VLOOKUP(B15,[1]Трансп!A$3:U$39,8,FALSE))*100</f>
        <v>1.4676948648074006</v>
      </c>
      <c r="H15" s="11">
        <f>VLOOKUP(B15,[1]Трансп!A$3:U$39,15,FALSE)/1000</f>
        <v>27.718</v>
      </c>
    </row>
    <row r="16" spans="1:14" x14ac:dyDescent="0.25">
      <c r="B16" t="s">
        <v>17</v>
      </c>
      <c r="C16" s="11">
        <f>VLOOKUP(B16,[1]Трансп!A$3:U$39,10,FALSE)/1000</f>
        <v>2411.614</v>
      </c>
      <c r="D16" s="82">
        <f>(1-VLOOKUP(B16,[1]Трансп!A$3:U$39,14,FALSE)/VLOOKUP(B16,[1]Трансп!A$3:U$39,10,FALSE))*100</f>
        <v>0.48415708318163553</v>
      </c>
      <c r="E16" s="11">
        <f>VLOOKUP(B16,[1]Трансп!A$3:U$39,17,FALSE)/1000</f>
        <v>0</v>
      </c>
      <c r="F16" s="11">
        <f>VLOOKUP(B16,[1]Трансп!A$3:U$39,8,FALSE)/1000</f>
        <v>1835.306</v>
      </c>
      <c r="G16" s="82">
        <f>(1-VLOOKUP(B16,[1]Трансп!A$3:U$39,12,FALSE)/VLOOKUP(B16,[1]Трансп!A$3:U$39,8,FALSE))*100</f>
        <v>0.44542980843521596</v>
      </c>
      <c r="H16" s="11">
        <f>VLOOKUP(B16,[1]Трансп!A$3:U$39,15,FALSE)/1000</f>
        <v>0</v>
      </c>
    </row>
    <row r="17" spans="2:10" x14ac:dyDescent="0.25">
      <c r="B17" t="s">
        <v>18</v>
      </c>
      <c r="C17" s="11">
        <f>VLOOKUP(B17,[1]Трансп!A$3:U$39,10,FALSE)/1000</f>
        <v>1810.3291999999999</v>
      </c>
      <c r="D17" s="82">
        <f>(1-VLOOKUP(B17,[1]Трансп!A$3:U$39,14,FALSE)/VLOOKUP(B17,[1]Трансп!A$3:U$39,10,FALSE))*100</f>
        <v>1.2294504226082137</v>
      </c>
      <c r="E17" s="11">
        <f>VLOOKUP(B17,[1]Трансп!A$3:U$39,17,FALSE)/1000</f>
        <v>0</v>
      </c>
      <c r="F17" s="11">
        <f>VLOOKUP(B17,[1]Трансп!A$3:U$39,8,FALSE)/1000</f>
        <v>1131.8176000000001</v>
      </c>
      <c r="G17" s="82">
        <f>(1-VLOOKUP(B17,[1]Трансп!A$3:U$39,12,FALSE)/VLOOKUP(B17,[1]Трансп!A$3:U$39,8,FALSE))*100</f>
        <v>1.9516483928152417</v>
      </c>
      <c r="H17" s="11">
        <f>VLOOKUP(B17,[1]Трансп!A$3:U$39,15,FALSE)/1000</f>
        <v>0</v>
      </c>
    </row>
    <row r="18" spans="2:10" s="37" customFormat="1" x14ac:dyDescent="0.25">
      <c r="B18" s="37" t="s">
        <v>19</v>
      </c>
      <c r="C18" s="85">
        <f>VLOOKUP(B18,[1]Трансп!A$3:U$39,10,FALSE)/1000</f>
        <v>212.709</v>
      </c>
      <c r="D18" s="86">
        <f>(1-VLOOKUP(B18,[1]Трансп!A$3:U$39,14,FALSE)/VLOOKUP(B18,[1]Трансп!A$3:U$39,10,FALSE))*100</f>
        <v>11.364822362946558</v>
      </c>
      <c r="E18" s="85">
        <f>VLOOKUP(B18,[1]Трансп!A$3:U$39,17,FALSE)/1000</f>
        <v>0</v>
      </c>
      <c r="F18" s="85">
        <f>VLOOKUP(B18,[1]Трансп!A$3:U$39,8,FALSE)/1000</f>
        <v>156.75299999999999</v>
      </c>
      <c r="G18" s="86">
        <f>(1-VLOOKUP(B18,[1]Трансп!A$3:U$39,12,FALSE)/VLOOKUP(B18,[1]Трансп!A$3:U$39,8,FALSE))*100</f>
        <v>72.044554171212027</v>
      </c>
      <c r="H18" s="85">
        <f>VLOOKUP(B18,[1]Трансп!A$3:U$39,15,FALSE)/1000</f>
        <v>0</v>
      </c>
      <c r="J18" s="37" t="s">
        <v>159</v>
      </c>
    </row>
    <row r="19" spans="2:10" x14ac:dyDescent="0.25">
      <c r="B19" t="s">
        <v>20</v>
      </c>
      <c r="C19" s="11">
        <f>VLOOKUP(B19,[1]Трансп!A$3:U$39,10,FALSE)/1000</f>
        <v>436.25900000000001</v>
      </c>
      <c r="D19" s="82">
        <f>(1-VLOOKUP(B19,[1]Трансп!A$3:U$39,14,FALSE)/VLOOKUP(B19,[1]Трансп!A$3:U$39,10,FALSE))*100</f>
        <v>1.4108591455992858</v>
      </c>
      <c r="E19" s="11">
        <f>VLOOKUP(B19,[1]Трансп!A$3:U$39,17,FALSE)/1000</f>
        <v>0</v>
      </c>
      <c r="F19" s="11">
        <f>VLOOKUP(B19,[1]Трансп!A$3:U$39,8,FALSE)/1000</f>
        <v>195.18600000000001</v>
      </c>
      <c r="G19" s="82">
        <f>(1-VLOOKUP(B19,[1]Трансп!A$3:U$39,12,FALSE)/VLOOKUP(B19,[1]Трансп!A$3:U$39,8,FALSE))*100</f>
        <v>2.8490772903794315</v>
      </c>
      <c r="H19" s="11">
        <f>VLOOKUP(B19,[1]Трансп!A$3:U$39,15,FALSE)/1000</f>
        <v>0</v>
      </c>
    </row>
    <row r="20" spans="2:10" x14ac:dyDescent="0.25">
      <c r="B20" t="s">
        <v>21</v>
      </c>
      <c r="C20" s="11">
        <f>VLOOKUP(B20,[1]Трансп!A$3:U$39,10,FALSE)/1000</f>
        <v>687.73340000000007</v>
      </c>
      <c r="D20" s="82">
        <f>(1-VLOOKUP(B20,[1]Трансп!A$3:U$39,14,FALSE)/VLOOKUP(B20,[1]Трансп!A$3:U$39,10,FALSE))*100</f>
        <v>6.501356484940235</v>
      </c>
      <c r="E20" s="11">
        <f>VLOOKUP(B20,[1]Трансп!A$3:U$39,17,FALSE)/1000</f>
        <v>15.5326</v>
      </c>
      <c r="F20" s="11">
        <f>VLOOKUP(B20,[1]Трансп!A$3:U$39,8,FALSE)/1000</f>
        <v>479.03809999999999</v>
      </c>
      <c r="G20" s="82">
        <f>(1-VLOOKUP(B20,[1]Трансп!A$3:U$39,12,FALSE)/VLOOKUP(B20,[1]Трансп!A$3:U$39,8,FALSE))*100</f>
        <v>1.4493627959863753</v>
      </c>
      <c r="H20" s="11">
        <f>VLOOKUP(B20,[1]Трансп!A$3:U$39,15,FALSE)/1000</f>
        <v>16.475999999999999</v>
      </c>
    </row>
    <row r="21" spans="2:10" x14ac:dyDescent="0.25">
      <c r="B21" t="s">
        <v>22</v>
      </c>
      <c r="C21" s="11">
        <f>VLOOKUP(B21,[1]Трансп!A$3:U$39,10,FALSE)/1000</f>
        <v>795.95969600000001</v>
      </c>
      <c r="D21" s="82">
        <f>(1-VLOOKUP(B21,[1]Трансп!A$3:U$39,14,FALSE)/VLOOKUP(B21,[1]Трансп!A$3:U$39,10,FALSE))*100</f>
        <v>6.6638735939212657</v>
      </c>
      <c r="E21" s="11">
        <f>VLOOKUP(B21,[1]Трансп!A$3:U$39,17,FALSE)/1000</f>
        <v>0</v>
      </c>
      <c r="F21" s="11">
        <f>VLOOKUP(B21,[1]Трансп!A$3:U$39,8,FALSE)/1000</f>
        <v>584.85199999999998</v>
      </c>
      <c r="G21" s="82">
        <f>(1-VLOOKUP(B21,[1]Трансп!A$3:U$39,12,FALSE)/VLOOKUP(B21,[1]Трансп!A$3:U$39,8,FALSE))*100</f>
        <v>11.350392919918207</v>
      </c>
      <c r="H21" s="11">
        <f>VLOOKUP(B21,[1]Трансп!A$3:U$39,15,FALSE)/1000</f>
        <v>0</v>
      </c>
    </row>
    <row r="22" spans="2:10" x14ac:dyDescent="0.25">
      <c r="B22" t="s">
        <v>23</v>
      </c>
      <c r="C22" s="11">
        <f>VLOOKUP(B22,[1]Трансп!A$3:U$39,10,FALSE)/1000</f>
        <v>882.46199999999999</v>
      </c>
      <c r="D22" s="82">
        <f>(1-VLOOKUP(B22,[1]Трансп!A$3:U$39,14,FALSE)/VLOOKUP(B22,[1]Трансп!A$3:U$39,10,FALSE))*100</f>
        <v>1.8753215435905468</v>
      </c>
      <c r="E22" s="11">
        <f>VLOOKUP(B22,[1]Трансп!A$3:U$39,17,FALSE)/1000</f>
        <v>33.752000000000002</v>
      </c>
      <c r="F22" s="11">
        <f>VLOOKUP(B22,[1]Трансп!A$3:U$39,8,FALSE)/1000</f>
        <v>735.81399999999996</v>
      </c>
      <c r="G22" s="82">
        <f>(1-VLOOKUP(B22,[1]Трансп!A$3:U$39,12,FALSE)/VLOOKUP(B22,[1]Трансп!A$3:U$39,8,FALSE))*100</f>
        <v>1.3837736167020442</v>
      </c>
      <c r="H22" s="11">
        <f>VLOOKUP(B22,[1]Трансп!A$3:U$39,15,FALSE)/1000</f>
        <v>0.86399999999999999</v>
      </c>
    </row>
    <row r="23" spans="2:10" x14ac:dyDescent="0.25">
      <c r="B23" t="s">
        <v>24</v>
      </c>
      <c r="C23" s="11">
        <f>VLOOKUP(B23,[1]Трансп!A$3:U$39,10,FALSE)/1000</f>
        <v>1066.117</v>
      </c>
      <c r="D23" s="82">
        <f>(1-VLOOKUP(B23,[1]Трансп!A$3:U$39,14,FALSE)/VLOOKUP(B23,[1]Трансп!A$3:U$39,10,FALSE))*100</f>
        <v>0.88920822011092637</v>
      </c>
      <c r="E23" s="11">
        <f>VLOOKUP(B23,[1]Трансп!A$3:U$39,17,FALSE)/1000</f>
        <v>0</v>
      </c>
      <c r="F23" s="11">
        <f>VLOOKUP(B23,[1]Трансп!A$3:U$39,8,FALSE)/1000</f>
        <v>917.05399999999997</v>
      </c>
      <c r="G23" s="82">
        <f>(1-VLOOKUP(B23,[1]Трансп!A$3:U$39,12,FALSE)/VLOOKUP(B23,[1]Трансп!A$3:U$39,8,FALSE))*100</f>
        <v>0.59909231081266556</v>
      </c>
      <c r="H23" s="11">
        <f>VLOOKUP(B23,[1]Трансп!A$3:U$39,15,FALSE)/1000</f>
        <v>0</v>
      </c>
    </row>
    <row r="24" spans="2:10" x14ac:dyDescent="0.25">
      <c r="B24" t="s">
        <v>25</v>
      </c>
      <c r="C24" s="11">
        <f>VLOOKUP(B24,[1]Трансп!A$3:U$39,10,FALSE)/1000</f>
        <v>600.83600000000001</v>
      </c>
      <c r="D24" s="82">
        <f>(1-VLOOKUP(B24,[1]Трансп!A$3:U$39,14,FALSE)/VLOOKUP(B24,[1]Трансп!A$3:U$39,10,FALSE))*100</f>
        <v>2.9458953857619541E-2</v>
      </c>
      <c r="E24" s="11">
        <f>VLOOKUP(B24,[1]Трансп!A$3:U$39,17,FALSE)/1000</f>
        <v>0</v>
      </c>
      <c r="F24" s="11">
        <f>VLOOKUP(B24,[1]Трансп!A$3:U$39,8,FALSE)/1000</f>
        <v>513.50599999999997</v>
      </c>
      <c r="G24" s="82">
        <f>(1-VLOOKUP(B24,[1]Трансп!A$3:U$39,12,FALSE)/VLOOKUP(B24,[1]Трансп!A$3:U$39,8,FALSE))*100</f>
        <v>0.45452243985464325</v>
      </c>
      <c r="H24" s="11">
        <f>VLOOKUP(B24,[1]Трансп!A$3:U$39,15,FALSE)/1000</f>
        <v>0</v>
      </c>
    </row>
    <row r="25" spans="2:10" x14ac:dyDescent="0.25">
      <c r="B25" t="s">
        <v>26</v>
      </c>
      <c r="C25" s="11">
        <f>VLOOKUP(B25,[1]Трансп!A$3:U$39,10,FALSE)/1000</f>
        <v>598.77</v>
      </c>
      <c r="D25" s="82">
        <f>(1-VLOOKUP(B25,[1]Трансп!A$3:U$39,14,FALSE)/VLOOKUP(B25,[1]Трансп!A$3:U$39,10,FALSE))*100</f>
        <v>0.17569350501862591</v>
      </c>
      <c r="E25" s="11">
        <f>VLOOKUP(B25,[1]Трансп!A$3:U$39,17,FALSE)/1000</f>
        <v>0</v>
      </c>
      <c r="F25" s="11">
        <f>VLOOKUP(B25,[1]Трансп!A$3:U$39,8,FALSE)/1000</f>
        <v>410.66699999999997</v>
      </c>
      <c r="G25" s="82">
        <f>(1-VLOOKUP(B25,[1]Трансп!A$3:U$39,12,FALSE)/VLOOKUP(B25,[1]Трансп!A$3:U$39,8,FALSE))*100</f>
        <v>0.33092505606732159</v>
      </c>
      <c r="H25" s="11">
        <f>VLOOKUP(B25,[1]Трансп!A$3:U$39,15,FALSE)/1000</f>
        <v>0</v>
      </c>
    </row>
    <row r="26" spans="2:10" x14ac:dyDescent="0.25">
      <c r="B26" t="s">
        <v>27</v>
      </c>
      <c r="C26" s="11">
        <f>VLOOKUP(B26,[1]Трансп!A$3:U$39,10,FALSE)/1000</f>
        <v>1618.5570700000001</v>
      </c>
      <c r="D26" s="82">
        <f>(1-VLOOKUP(B26,[1]Трансп!A$3:U$39,14,FALSE)/VLOOKUP(B26,[1]Трансп!A$3:U$39,10,FALSE))*100</f>
        <v>2.9256305432591279</v>
      </c>
      <c r="E26" s="11">
        <f>VLOOKUP(B26,[1]Трансп!A$3:U$39,17,FALSE)/1000</f>
        <v>0</v>
      </c>
      <c r="F26" s="11">
        <f>VLOOKUP(B26,[1]Трансп!A$3:U$39,8,FALSE)/1000</f>
        <v>1409.9659199999999</v>
      </c>
      <c r="G26" s="82">
        <f>(1-VLOOKUP(B26,[1]Трансп!A$3:U$39,12,FALSE)/VLOOKUP(B26,[1]Трансп!A$3:U$39,8,FALSE))*100</f>
        <v>3.9915425757240941</v>
      </c>
      <c r="H26" s="11">
        <f>VLOOKUP(B26,[1]Трансп!A$3:U$39,15,FALSE)/1000</f>
        <v>0</v>
      </c>
    </row>
    <row r="27" spans="2:10" x14ac:dyDescent="0.25">
      <c r="B27" t="s">
        <v>28</v>
      </c>
      <c r="C27" s="11">
        <f>VLOOKUP(B27,[1]Трансп!A$3:U$39,10,FALSE)/1000</f>
        <v>462.053</v>
      </c>
      <c r="D27" s="82">
        <f>(1-VLOOKUP(B27,[1]Трансп!A$3:U$39,14,FALSE)/VLOOKUP(B27,[1]Трансп!A$3:U$39,10,FALSE))*100</f>
        <v>6.1659593163554849</v>
      </c>
      <c r="E27" s="11">
        <f>VLOOKUP(B27,[1]Трансп!A$3:U$39,17,FALSE)/1000</f>
        <v>0</v>
      </c>
      <c r="F27" s="11">
        <f>VLOOKUP(B27,[1]Трансп!A$3:U$39,8,FALSE)/1000</f>
        <v>269.25099999999998</v>
      </c>
      <c r="G27" s="82">
        <f>(1-VLOOKUP(B27,[1]Трансп!A$3:U$39,12,FALSE)/VLOOKUP(B27,[1]Трансп!A$3:U$39,8,FALSE))*100</f>
        <v>11.186216578582808</v>
      </c>
      <c r="H27" s="11">
        <f>VLOOKUP(B27,[1]Трансп!A$3:U$39,15,FALSE)/1000</f>
        <v>0</v>
      </c>
    </row>
    <row r="28" spans="2:10" s="10" customFormat="1" x14ac:dyDescent="0.25">
      <c r="B28" s="10" t="s">
        <v>29</v>
      </c>
      <c r="C28" s="12">
        <f>VLOOKUP(B28,[1]Трансп!A$3:U$39,10,FALSE)/1000</f>
        <v>1163.8620000000001</v>
      </c>
      <c r="D28" s="83">
        <f>(1-VLOOKUP(B28,[1]Трансп!A$3:U$39,14,FALSE)/VLOOKUP(B28,[1]Трансп!A$3:U$39,10,FALSE))*100</f>
        <v>75.598825290283557</v>
      </c>
      <c r="E28" s="12">
        <f>VLOOKUP(B28,[1]Трансп!A$3:U$39,17,FALSE)/1000</f>
        <v>147.46600000000001</v>
      </c>
      <c r="F28" s="12">
        <f>VLOOKUP(B28,[1]Трансп!A$3:U$39,8,FALSE)/1000</f>
        <v>1071.328</v>
      </c>
      <c r="G28" s="82">
        <f>(1-VLOOKUP(B28,[1]Трансп!A$3:U$39,12,FALSE)/VLOOKUP(B28,[1]Трансп!A$3:U$39,8,FALSE))*100</f>
        <v>48.38490172944234</v>
      </c>
      <c r="H28" s="12">
        <f>VLOOKUP(B28,[1]Трансп!A$3:U$39,15,FALSE)/1000</f>
        <v>188.90600000000001</v>
      </c>
    </row>
    <row r="29" spans="2:10" x14ac:dyDescent="0.25">
      <c r="B29" t="s">
        <v>30</v>
      </c>
      <c r="C29" s="11">
        <f>VLOOKUP(B29,[1]Трансп!A$3:U$39,10,FALSE)/1000</f>
        <v>1670.78</v>
      </c>
      <c r="D29" s="82">
        <f>(1-VLOOKUP(B29,[1]Трансп!A$3:U$39,14,FALSE)/VLOOKUP(B29,[1]Трансп!A$3:U$39,10,FALSE))*100</f>
        <v>2.1615652569458521</v>
      </c>
      <c r="E29" s="11">
        <f>VLOOKUP(B29,[1]Трансп!A$3:U$39,17,FALSE)/1000</f>
        <v>566.64995999999996</v>
      </c>
      <c r="F29" s="11">
        <f>VLOOKUP(B29,[1]Трансп!A$3:U$39,8,FALSE)/1000</f>
        <v>1535.46</v>
      </c>
      <c r="G29" s="82">
        <f>(1-VLOOKUP(B29,[1]Трансп!A$3:U$39,12,FALSE)/VLOOKUP(B29,[1]Трансп!A$3:U$39,8,FALSE))*100</f>
        <v>1.1570473994763741</v>
      </c>
      <c r="H29" s="11">
        <f>VLOOKUP(B29,[1]Трансп!A$3:U$39,15,FALSE)/1000</f>
        <v>254.95699999999999</v>
      </c>
    </row>
    <row r="30" spans="2:10" x14ac:dyDescent="0.25">
      <c r="B30" t="s">
        <v>32</v>
      </c>
      <c r="C30" s="11">
        <f>VLOOKUP(B30,[1]Трансп!A$3:U$39,10,FALSE)/1000</f>
        <v>1113.373</v>
      </c>
      <c r="D30" s="82">
        <f>(1-VLOOKUP(B30,[1]Трансп!A$3:U$39,14,FALSE)/VLOOKUP(B30,[1]Трансп!A$3:U$39,10,FALSE))*100</f>
        <v>2.0137034039805157</v>
      </c>
      <c r="E30" s="11">
        <f>VLOOKUP(B30,[1]Трансп!A$3:U$39,17,FALSE)/1000</f>
        <v>0</v>
      </c>
      <c r="F30" s="11">
        <f>VLOOKUP(B30,[1]Трансп!A$3:U$39,8,FALSE)/1000</f>
        <v>860.92899999999997</v>
      </c>
      <c r="G30" s="82">
        <f>(1-VLOOKUP(B30,[1]Трансп!A$3:U$39,12,FALSE)/VLOOKUP(B30,[1]Трансп!A$3:U$39,8,FALSE))*100</f>
        <v>1.5230059621641256</v>
      </c>
      <c r="H30" s="11">
        <f>VLOOKUP(B30,[1]Трансп!A$3:U$39,15,FALSE)/1000</f>
        <v>0</v>
      </c>
    </row>
    <row r="31" spans="2:10" x14ac:dyDescent="0.25">
      <c r="B31" t="s">
        <v>33</v>
      </c>
      <c r="C31" s="11">
        <f>VLOOKUP(B31,[1]Трансп!A$3:U$39,10,FALSE)/1000</f>
        <v>70.72</v>
      </c>
      <c r="D31" s="82">
        <f>(1-VLOOKUP(B31,[1]Трансп!A$3:U$39,14,FALSE)/VLOOKUP(B31,[1]Трансп!A$3:U$39,10,FALSE))*100</f>
        <v>2.0277149321267007</v>
      </c>
      <c r="E31" s="11">
        <f>VLOOKUP(B31,[1]Трансп!A$3:U$39,17,FALSE)/1000</f>
        <v>0</v>
      </c>
      <c r="F31" s="11">
        <f>VLOOKUP(B31,[1]Трансп!A$3:U$39,8,FALSE)/1000</f>
        <v>73.449780000000004</v>
      </c>
      <c r="G31" s="82">
        <f>(1-VLOOKUP(B31,[1]Трансп!A$3:U$39,12,FALSE)/VLOOKUP(B31,[1]Трансп!A$3:U$39,8,FALSE))*100</f>
        <v>1.5471387388770852</v>
      </c>
      <c r="H31" s="11">
        <f>VLOOKUP(B31,[1]Трансп!A$3:U$39,15,FALSE)/1000</f>
        <v>0</v>
      </c>
    </row>
    <row r="32" spans="2:10" x14ac:dyDescent="0.25">
      <c r="B32" t="s">
        <v>34</v>
      </c>
      <c r="C32" s="11">
        <f>VLOOKUP(B32,[1]Трансп!A$3:U$39,10,FALSE)/1000</f>
        <v>1658.179891</v>
      </c>
      <c r="D32" s="82">
        <f>(1-VLOOKUP(B32,[1]Трансп!A$3:U$39,14,FALSE)/VLOOKUP(B32,[1]Трансп!A$3:U$39,10,FALSE))*100</f>
        <v>6.9098976306425364</v>
      </c>
      <c r="E32" s="11">
        <f>VLOOKUP(B32,[1]Трансп!A$3:U$39,17,FALSE)/1000</f>
        <v>493.51456100000001</v>
      </c>
      <c r="F32" s="11">
        <f>VLOOKUP(B32,[1]Трансп!A$3:U$39,8,FALSE)/1000</f>
        <v>1349.248</v>
      </c>
      <c r="G32" s="82">
        <f>(1-VLOOKUP(B32,[1]Трансп!A$3:U$39,12,FALSE)/VLOOKUP(B32,[1]Трансп!A$3:U$39,8,FALSE))*100</f>
        <v>63.076988070391806</v>
      </c>
      <c r="H32" s="11">
        <f>VLOOKUP(B32,[1]Трансп!A$3:U$39,15,FALSE)/1000</f>
        <v>268.82100000000003</v>
      </c>
    </row>
    <row r="33" spans="2:10" x14ac:dyDescent="0.25">
      <c r="B33" t="s">
        <v>35</v>
      </c>
      <c r="C33" s="11">
        <f>VLOOKUP(B33,[1]Трансп!A$3:U$39,10,FALSE)/1000</f>
        <v>1547.7912426</v>
      </c>
      <c r="D33" s="82">
        <f>(1-VLOOKUP(B33,[1]Трансп!A$3:U$39,14,FALSE)/VLOOKUP(B33,[1]Трансп!A$3:U$39,10,FALSE))*100</f>
        <v>1.0209425635110514</v>
      </c>
      <c r="E33" s="11">
        <f>VLOOKUP(B33,[1]Трансп!A$3:U$39,17,FALSE)/1000</f>
        <v>405.84460740999998</v>
      </c>
      <c r="F33" s="11">
        <f>VLOOKUP(B33,[1]Трансп!A$3:U$39,8,FALSE)/1000</f>
        <v>1335.1154960000001</v>
      </c>
      <c r="G33" s="82">
        <f>(1-VLOOKUP(B33,[1]Трансп!A$3:U$39,12,FALSE)/VLOOKUP(B33,[1]Трансп!A$3:U$39,8,FALSE))*100</f>
        <v>1.4486951172350104</v>
      </c>
      <c r="H33" s="11">
        <f>VLOOKUP(B33,[1]Трансп!A$3:U$39,15,FALSE)/1000</f>
        <v>100.09334</v>
      </c>
    </row>
    <row r="34" spans="2:10" x14ac:dyDescent="0.25">
      <c r="B34" t="s">
        <v>36</v>
      </c>
      <c r="C34" s="11">
        <f>VLOOKUP(B34,[1]Трансп!A$3:U$39,10,FALSE)/1000</f>
        <v>34.923999999999999</v>
      </c>
      <c r="D34" s="82">
        <f>(1-VLOOKUP(B34,[1]Трансп!A$3:U$39,14,FALSE)/VLOOKUP(B34,[1]Трансп!A$3:U$39,10,FALSE))*100</f>
        <v>3.0351620662008916</v>
      </c>
      <c r="E34" s="11">
        <f>VLOOKUP(B34,[1]Трансп!A$3:U$39,17,FALSE)/1000</f>
        <v>0</v>
      </c>
      <c r="F34" s="11">
        <f>VLOOKUP(B34,[1]Трансп!A$3:U$39,8,FALSE)/1000</f>
        <v>30.148</v>
      </c>
      <c r="G34" s="82">
        <f>(1-VLOOKUP(B34,[1]Трансп!A$3:U$39,12,FALSE)/VLOOKUP(B34,[1]Трансп!A$3:U$39,8,FALSE))*100</f>
        <v>6.2193180310468392</v>
      </c>
      <c r="H34" s="11">
        <f>VLOOKUP(B34,[1]Трансп!A$3:U$39,15,FALSE)/1000</f>
        <v>0</v>
      </c>
    </row>
    <row r="35" spans="2:10" x14ac:dyDescent="0.25">
      <c r="B35" t="s">
        <v>37</v>
      </c>
      <c r="C35" s="11">
        <f>VLOOKUP(B35,[1]Трансп!A$3:U$39,10,FALSE)/1000</f>
        <v>647.226</v>
      </c>
      <c r="D35" s="82">
        <f>(1-VLOOKUP(B35,[1]Трансп!A$3:U$39,14,FALSE)/VLOOKUP(B35,[1]Трансп!A$3:U$39,10,FALSE))*100</f>
        <v>1.9704090997580415</v>
      </c>
      <c r="E35" s="11">
        <f>VLOOKUP(B35,[1]Трансп!A$3:U$39,17,FALSE)/1000</f>
        <v>0</v>
      </c>
      <c r="F35" s="11">
        <f>VLOOKUP(B35,[1]Трансп!A$3:U$39,8,FALSE)/1000</f>
        <v>460.97500000000002</v>
      </c>
      <c r="G35" s="82">
        <f>(1-VLOOKUP(B35,[1]Трансп!A$3:U$39,12,FALSE)/VLOOKUP(B35,[1]Трансп!A$3:U$39,8,FALSE))*100</f>
        <v>1.9358967406041594</v>
      </c>
      <c r="H35" s="11">
        <f>VLOOKUP(B35,[1]Трансп!A$3:U$39,15,FALSE)/1000</f>
        <v>1.0569999999999999</v>
      </c>
    </row>
    <row r="36" spans="2:10" x14ac:dyDescent="0.25">
      <c r="B36" t="s">
        <v>38</v>
      </c>
      <c r="C36" s="11">
        <f>VLOOKUP(B36,[1]Трансп!A$3:U$39,10,FALSE)/1000</f>
        <v>1348.258</v>
      </c>
      <c r="D36" s="82">
        <f>(1-VLOOKUP(B36,[1]Трансп!A$3:U$39,14,FALSE)/VLOOKUP(B36,[1]Трансп!A$3:U$39,10,FALSE))*100</f>
        <v>1.5270816119763442</v>
      </c>
      <c r="E36" s="11">
        <f>VLOOKUP(B36,[1]Трансп!A$3:U$39,17,FALSE)/1000</f>
        <v>1.4999999999999999E-2</v>
      </c>
      <c r="F36" s="11">
        <f>VLOOKUP(B36,[1]Трансп!A$3:U$39,8,FALSE)/1000</f>
        <v>715.05</v>
      </c>
      <c r="G36" s="82">
        <f>(1-VLOOKUP(B36,[1]Трансп!A$3:U$39,12,FALSE)/VLOOKUP(B36,[1]Трансп!A$3:U$39,8,FALSE))*100</f>
        <v>1.6849171386616346</v>
      </c>
      <c r="H36" s="11">
        <f>VLOOKUP(B36,[1]Трансп!A$3:U$39,15,FALSE)/1000</f>
        <v>3.0339999999999998</v>
      </c>
    </row>
    <row r="37" spans="2:10" x14ac:dyDescent="0.25">
      <c r="B37" t="s">
        <v>39</v>
      </c>
      <c r="C37" s="11">
        <f>VLOOKUP(B37,[1]Трансп!A$3:U$39,10,FALSE)/1000</f>
        <v>1116.3810000000001</v>
      </c>
      <c r="D37" s="82">
        <f>(1-VLOOKUP(B37,[1]Трансп!A$3:U$39,14,FALSE)/VLOOKUP(B37,[1]Трансп!A$3:U$39,10,FALSE))*100</f>
        <v>2.103582916584934</v>
      </c>
      <c r="E37" s="11">
        <f>VLOOKUP(B37,[1]Трансп!A$3:U$39,17,FALSE)/1000</f>
        <v>0</v>
      </c>
      <c r="F37" s="11">
        <f>VLOOKUP(B37,[1]Трансп!A$3:U$39,8,FALSE)/1000</f>
        <v>999.30200000000002</v>
      </c>
      <c r="G37" s="82">
        <f>(1-VLOOKUP(B37,[1]Трансп!A$3:U$39,12,FALSE)/VLOOKUP(B37,[1]Трансп!A$3:U$39,8,FALSE))*100</f>
        <v>1.365553156102961</v>
      </c>
      <c r="H37" s="11">
        <f>VLOOKUP(B37,[1]Трансп!A$3:U$39,15,FALSE)/1000</f>
        <v>0</v>
      </c>
    </row>
    <row r="38" spans="2:10" s="10" customFormat="1" x14ac:dyDescent="0.25">
      <c r="B38" s="10" t="s">
        <v>40</v>
      </c>
      <c r="C38" s="12">
        <f>VLOOKUP(B38,[1]Трансп!A$3:U$39,10,FALSE)/1000</f>
        <v>151.53531000000001</v>
      </c>
      <c r="D38" s="83">
        <f>(1-VLOOKUP(B38,[1]Трансп!A$3:U$39,14,FALSE)/VLOOKUP(B38,[1]Трансп!A$3:U$39,10,FALSE))*100</f>
        <v>6.3979411795178409</v>
      </c>
      <c r="E38" s="12">
        <f>VLOOKUP(B38,[1]Трансп!A$3:U$39,17,FALSE)/1000</f>
        <v>2.8998000000000004</v>
      </c>
      <c r="F38" s="12">
        <f>VLOOKUP(B38,[1]Трансп!A$3:U$39,8,FALSE)/1000</f>
        <v>178.57266000000001</v>
      </c>
      <c r="G38" s="82">
        <f>(1-VLOOKUP(B38,[1]Трансп!A$3:U$39,12,FALSE)/VLOOKUP(B38,[1]Трансп!A$3:U$39,8,FALSE))*100</f>
        <v>2.135601272893628</v>
      </c>
      <c r="H38" s="12">
        <f>VLOOKUP(B38,[1]Трансп!A$3:U$39,15,FALSE)/1000</f>
        <v>10.726809999999999</v>
      </c>
    </row>
    <row r="39" spans="2:10" x14ac:dyDescent="0.25">
      <c r="B39" t="s">
        <v>41</v>
      </c>
      <c r="C39" s="11">
        <f>VLOOKUP(B39,[1]Трансп!A$3:U$39,10,FALSE)/1000</f>
        <v>527.96112000000005</v>
      </c>
      <c r="D39" s="82">
        <f>(1-VLOOKUP(B39,[1]Трансп!A$3:U$39,14,FALSE)/VLOOKUP(B39,[1]Трансп!A$3:U$39,10,FALSE))*100</f>
        <v>0.18672018878964636</v>
      </c>
      <c r="E39" s="11">
        <f>VLOOKUP(B39,[1]Трансп!A$3:U$39,17,FALSE)/1000</f>
        <v>0</v>
      </c>
      <c r="F39" s="11">
        <f>VLOOKUP(B39,[1]Трансп!A$3:U$39,8,FALSE)/1000</f>
        <v>316.411</v>
      </c>
      <c r="G39" s="82">
        <f>(1-VLOOKUP(B39,[1]Трансп!A$3:U$39,12,FALSE)/VLOOKUP(B39,[1]Трансп!A$3:U$39,8,FALSE))*100</f>
        <v>0.35333790544576082</v>
      </c>
      <c r="H39" s="11">
        <f>VLOOKUP(B39,[1]Трансп!A$3:U$39,15,FALSE)/1000</f>
        <v>0</v>
      </c>
    </row>
    <row r="40" spans="2:10" x14ac:dyDescent="0.25">
      <c r="B40" t="s">
        <v>99</v>
      </c>
      <c r="C40" s="11">
        <f>VLOOKUP(B40,[1]Трансп!A$3:U$39,10,FALSE)/1000</f>
        <v>296.91773000000001</v>
      </c>
      <c r="D40" s="82">
        <f>(1-VLOOKUP(B40,[1]Трансп!A$3:U$39,14,FALSE)/VLOOKUP(B40,[1]Трансп!A$3:U$39,10,FALSE))*100</f>
        <v>5.3489564264153078E-2</v>
      </c>
      <c r="E40" s="11">
        <v>0</v>
      </c>
      <c r="F40" s="11">
        <v>0</v>
      </c>
      <c r="G40" s="84" t="s">
        <v>100</v>
      </c>
      <c r="H40" s="11">
        <v>0</v>
      </c>
    </row>
    <row r="41" spans="2:10" x14ac:dyDescent="0.25">
      <c r="B41" t="s">
        <v>42</v>
      </c>
      <c r="C41">
        <f>VLOOKUP(B41,[2]Трансп!A$2:CP$32,79,FALSE)/1000</f>
        <v>46.058999999999997</v>
      </c>
      <c r="D41" s="82">
        <f>(1-VLOOKUP(B41,[2]Трансп!A$2:CP$32,83,FALSE)/VLOOKUP(B41,[2]Трансп!A$2:CP$32,79,FALSE))*100</f>
        <v>29.750971579930084</v>
      </c>
      <c r="E41" t="s">
        <v>85</v>
      </c>
      <c r="F41">
        <f>VLOOKUP(B41,[2]Трансп!A$2:CP$32,77,FALSE)/1000</f>
        <v>19.584</v>
      </c>
      <c r="G41" s="82">
        <f>(1-VLOOKUP(B41,[2]Трансп!A$2:CP$32,81,FALSE)/VLOOKUP(B41,[2]Трансп!A$2:CP$32,77,FALSE))*100</f>
        <v>27.736928104575163</v>
      </c>
      <c r="H41" t="s">
        <v>85</v>
      </c>
      <c r="J41">
        <f>1-VLOOKUP(B41,[2]Трансп!A$2:CP$32,81,FALSE)/VLOOKUP(B41,[2]Трансп!A$2:CP$32,77,FALSE)</f>
        <v>0.27736928104575165</v>
      </c>
    </row>
    <row r="42" spans="2:10" x14ac:dyDescent="0.25">
      <c r="B42" t="s">
        <v>44</v>
      </c>
      <c r="C42">
        <f>VLOOKUP(B42,[2]Трансп!A$2:CP$32,79,FALSE)/1000</f>
        <v>370</v>
      </c>
      <c r="D42" s="82">
        <f>(1-VLOOKUP(B42,[2]Трансп!A$2:CP$32,83,FALSE)/VLOOKUP(B42,[2]Трансп!A$2:CP$32,79,FALSE))*100</f>
        <v>0</v>
      </c>
      <c r="E42" t="s">
        <v>85</v>
      </c>
      <c r="F42">
        <f>VLOOKUP(B42,[2]Трансп!A$2:CP$32,77,FALSE)/1000</f>
        <v>164</v>
      </c>
      <c r="G42" s="82">
        <f>(1-VLOOKUP(B42,[2]Трансп!A$2:CP$32,81,FALSE)/VLOOKUP(B42,[2]Трансп!A$2:CP$32,77,FALSE))*100</f>
        <v>0</v>
      </c>
      <c r="H42" t="s">
        <v>85</v>
      </c>
    </row>
    <row r="43" spans="2:10" x14ac:dyDescent="0.25">
      <c r="B43" t="s">
        <v>45</v>
      </c>
      <c r="C43">
        <f>VLOOKUP(B43,[2]Трансп!A$2:CP$32,79,FALSE)/1000</f>
        <v>0</v>
      </c>
      <c r="D43" s="82" t="e">
        <f>(1-VLOOKUP(B43,[2]Трансп!A$2:CP$32,83,FALSE)/VLOOKUP(B43,[2]Трансп!A$2:CP$32,79,FALSE))*100</f>
        <v>#DIV/0!</v>
      </c>
      <c r="E43" t="s">
        <v>85</v>
      </c>
      <c r="F43">
        <f>VLOOKUP(B43,[2]Трансп!A$2:CP$32,77,FALSE)/1000</f>
        <v>0</v>
      </c>
      <c r="G43" s="82" t="e">
        <f>(1-VLOOKUP(B43,[2]Трансп!A$2:CP$32,81,FALSE)/VLOOKUP(B43,[2]Трансп!A$2:CP$32,77,FALSE))*100</f>
        <v>#DIV/0!</v>
      </c>
      <c r="H43" t="s">
        <v>85</v>
      </c>
    </row>
    <row r="44" spans="2:10" x14ac:dyDescent="0.25">
      <c r="B44" t="s">
        <v>46</v>
      </c>
      <c r="C44">
        <f>VLOOKUP(B44,[2]Трансп!A$2:CP$32,79,FALSE)/1000</f>
        <v>0</v>
      </c>
      <c r="D44" s="82" t="e">
        <f>(1-VLOOKUP(B44,[2]Трансп!A$2:CP$32,83,FALSE)/VLOOKUP(B44,[2]Трансп!A$2:CP$32,79,FALSE))*100</f>
        <v>#DIV/0!</v>
      </c>
      <c r="E44" t="s">
        <v>85</v>
      </c>
      <c r="F44">
        <f>VLOOKUP(B44,[2]Трансп!A$2:CP$32,77,FALSE)/1000</f>
        <v>0</v>
      </c>
      <c r="G44" s="82" t="e">
        <f>(1-VLOOKUP(B44,[2]Трансп!A$2:CP$32,81,FALSE)/VLOOKUP(B44,[2]Трансп!A$2:CP$32,77,FALSE))*100</f>
        <v>#DIV/0!</v>
      </c>
      <c r="H44" t="s">
        <v>85</v>
      </c>
    </row>
    <row r="45" spans="2:10" x14ac:dyDescent="0.25">
      <c r="B45" t="s">
        <v>47</v>
      </c>
      <c r="C45">
        <f>VLOOKUP(B45,[2]Трансп!A$2:CP$32,79,FALSE)/1000</f>
        <v>61.265000000000001</v>
      </c>
      <c r="D45" s="82">
        <f>(1-VLOOKUP(B45,[2]Трансп!A$2:CP$32,83,FALSE)/VLOOKUP(B45,[2]Трансп!A$2:CP$32,79,FALSE))*100</f>
        <v>13.588508936586962</v>
      </c>
      <c r="E45" t="s">
        <v>85</v>
      </c>
      <c r="F45">
        <f>VLOOKUP(B45,[2]Трансп!A$2:CP$32,77,FALSE)/1000</f>
        <v>38.728000000000002</v>
      </c>
      <c r="G45" s="82">
        <f>(1-VLOOKUP(B45,[2]Трансп!A$2:CP$32,81,FALSE)/VLOOKUP(B45,[2]Трансп!A$2:CP$32,77,FALSE))*100</f>
        <v>11.490394546581284</v>
      </c>
      <c r="H45" t="s">
        <v>85</v>
      </c>
    </row>
    <row r="46" spans="2:10" x14ac:dyDescent="0.25">
      <c r="B46" t="s">
        <v>48</v>
      </c>
      <c r="C46">
        <f>VLOOKUP(B46,[2]Трансп!A$2:CP$32,79,FALSE)/1000</f>
        <v>0</v>
      </c>
      <c r="D46" s="82" t="e">
        <f>(1-VLOOKUP(B46,[2]Трансп!A$2:CP$32,83,FALSE)/VLOOKUP(B46,[2]Трансп!A$2:CP$32,79,FALSE))*100</f>
        <v>#DIV/0!</v>
      </c>
      <c r="E46" t="s">
        <v>85</v>
      </c>
      <c r="F46">
        <f>VLOOKUP(B46,[2]Трансп!A$2:CP$32,77,FALSE)/1000</f>
        <v>0</v>
      </c>
      <c r="G46" s="82" t="e">
        <f>(1-VLOOKUP(B46,[2]Трансп!A$2:CP$32,81,FALSE)/VLOOKUP(B46,[2]Трансп!A$2:CP$32,77,FALSE))*100</f>
        <v>#DIV/0!</v>
      </c>
      <c r="H46" t="s">
        <v>85</v>
      </c>
    </row>
    <row r="47" spans="2:10" x14ac:dyDescent="0.25">
      <c r="B47" t="s">
        <v>49</v>
      </c>
      <c r="C47">
        <f>VLOOKUP(B47,[2]Трансп!A$2:CP$32,79,FALSE)/1000</f>
        <v>0</v>
      </c>
      <c r="D47" s="82" t="e">
        <f>(1-VLOOKUP(B47,[2]Трансп!A$2:CP$32,83,FALSE)/VLOOKUP(B47,[2]Трансп!A$2:CP$32,79,FALSE))*100</f>
        <v>#DIV/0!</v>
      </c>
      <c r="E47" t="s">
        <v>85</v>
      </c>
      <c r="F47">
        <f>VLOOKUP(B47,[2]Трансп!A$2:CP$32,77,FALSE)/1000</f>
        <v>0</v>
      </c>
      <c r="G47" s="82" t="e">
        <f>(1-VLOOKUP(B47,[2]Трансп!A$2:CP$32,81,FALSE)/VLOOKUP(B47,[2]Трансп!A$2:CP$32,77,FALSE))*100</f>
        <v>#DIV/0!</v>
      </c>
      <c r="H47" t="s">
        <v>85</v>
      </c>
    </row>
    <row r="48" spans="2:10" x14ac:dyDescent="0.25">
      <c r="B48" t="s">
        <v>50</v>
      </c>
      <c r="C48">
        <f>VLOOKUP(B48,[2]Трансп!A$2:CP$32,79,FALSE)/1000</f>
        <v>0</v>
      </c>
      <c r="D48" s="82" t="e">
        <f>(1-VLOOKUP(B48,[2]Трансп!A$2:CP$32,83,FALSE)/VLOOKUP(B48,[2]Трансп!A$2:CP$32,79,FALSE))*100</f>
        <v>#DIV/0!</v>
      </c>
      <c r="E48" t="s">
        <v>85</v>
      </c>
      <c r="F48">
        <f>VLOOKUP(B48,[2]Трансп!A$2:CP$32,77,FALSE)/1000</f>
        <v>0</v>
      </c>
      <c r="G48" s="82" t="e">
        <f>(1-VLOOKUP(B48,[2]Трансп!A$2:CP$32,81,FALSE)/VLOOKUP(B48,[2]Трансп!A$2:CP$32,77,FALSE))*100</f>
        <v>#DIV/0!</v>
      </c>
      <c r="H48" t="s">
        <v>85</v>
      </c>
    </row>
    <row r="49" spans="2:8" x14ac:dyDescent="0.25">
      <c r="B49" t="s">
        <v>51</v>
      </c>
      <c r="C49">
        <f>VLOOKUP(B49,[2]Трансп!A$2:CP$32,79,FALSE)/1000</f>
        <v>0</v>
      </c>
      <c r="D49" s="82" t="e">
        <f>(1-VLOOKUP(B49,[2]Трансп!A$2:CP$32,83,FALSE)/VLOOKUP(B49,[2]Трансп!A$2:CP$32,79,FALSE))*100</f>
        <v>#DIV/0!</v>
      </c>
      <c r="E49" t="s">
        <v>85</v>
      </c>
      <c r="F49">
        <f>VLOOKUP(B49,[2]Трансп!A$2:CP$32,77,FALSE)/1000</f>
        <v>0</v>
      </c>
      <c r="G49" s="82" t="e">
        <f>(1-VLOOKUP(B49,[2]Трансп!A$2:CP$32,81,FALSE)/VLOOKUP(B49,[2]Трансп!A$2:CP$32,77,FALSE))*100</f>
        <v>#DIV/0!</v>
      </c>
      <c r="H49" t="s">
        <v>85</v>
      </c>
    </row>
    <row r="50" spans="2:8" x14ac:dyDescent="0.25">
      <c r="B50" t="s">
        <v>52</v>
      </c>
      <c r="C50">
        <f>VLOOKUP(B50,[2]Трансп!A$2:CP$32,79,FALSE)/1000</f>
        <v>0</v>
      </c>
      <c r="D50" s="82" t="e">
        <f>(1-VLOOKUP(B50,[2]Трансп!A$2:CP$32,83,FALSE)/VLOOKUP(B50,[2]Трансп!A$2:CP$32,79,FALSE))*100</f>
        <v>#DIV/0!</v>
      </c>
      <c r="E50" t="s">
        <v>85</v>
      </c>
      <c r="F50">
        <f>VLOOKUP(B50,[2]Трансп!A$2:CP$32,77,FALSE)/1000</f>
        <v>0</v>
      </c>
      <c r="G50" s="82" t="e">
        <f>(1-VLOOKUP(B50,[2]Трансп!A$2:CP$32,81,FALSE)/VLOOKUP(B50,[2]Трансп!A$2:CP$32,77,FALSE))*100</f>
        <v>#DIV/0!</v>
      </c>
      <c r="H50" t="s">
        <v>85</v>
      </c>
    </row>
    <row r="51" spans="2:8" x14ac:dyDescent="0.25">
      <c r="B51" t="s">
        <v>53</v>
      </c>
      <c r="C51">
        <f>VLOOKUP(B51,[2]Трансп!A$2:CP$32,79,FALSE)/1000</f>
        <v>114.47272835999999</v>
      </c>
      <c r="D51" s="82">
        <f>(1-VLOOKUP(B51,[2]Трансп!A$2:CP$32,83,FALSE)/VLOOKUP(B51,[2]Трансп!A$2:CP$32,79,FALSE))*100</f>
        <v>48.58029089261413</v>
      </c>
      <c r="E51" t="s">
        <v>85</v>
      </c>
      <c r="F51">
        <f>VLOOKUP(B51,[2]Трансп!A$2:CP$32,77,FALSE)/1000</f>
        <v>93.614999999999995</v>
      </c>
      <c r="G51" s="82">
        <f>(1-VLOOKUP(B51,[2]Трансп!A$2:CP$32,81,FALSE)/VLOOKUP(B51,[2]Трансп!A$2:CP$32,77,FALSE))*100</f>
        <v>46.020402713240408</v>
      </c>
      <c r="H51" t="s">
        <v>85</v>
      </c>
    </row>
    <row r="52" spans="2:8" x14ac:dyDescent="0.25">
      <c r="B52" t="s">
        <v>54</v>
      </c>
      <c r="C52">
        <f>VLOOKUP(B52,[2]Трансп!A$2:CP$32,79,FALSE)/1000</f>
        <v>0</v>
      </c>
      <c r="D52" s="82" t="e">
        <f>(1-VLOOKUP(B52,[2]Трансп!A$2:CP$32,83,FALSE)/VLOOKUP(B52,[2]Трансп!A$2:CP$32,79,FALSE))*100</f>
        <v>#DIV/0!</v>
      </c>
      <c r="E52" t="s">
        <v>85</v>
      </c>
      <c r="F52">
        <f>VLOOKUP(B52,[2]Трансп!A$2:CP$32,77,FALSE)/1000</f>
        <v>0</v>
      </c>
      <c r="G52" s="82" t="e">
        <f>(1-VLOOKUP(B52,[2]Трансп!A$2:CP$32,81,FALSE)/VLOOKUP(B52,[2]Трансп!A$2:CP$32,77,FALSE))*100</f>
        <v>#DIV/0!</v>
      </c>
      <c r="H52" t="s">
        <v>85</v>
      </c>
    </row>
    <row r="53" spans="2:8" x14ac:dyDescent="0.25">
      <c r="B53" t="s">
        <v>55</v>
      </c>
      <c r="C53">
        <f>VLOOKUP(B53,[2]Трансп!A$2:CP$32,79,FALSE)/1000</f>
        <v>0</v>
      </c>
      <c r="D53" s="82" t="e">
        <f>(1-VLOOKUP(B53,[2]Трансп!A$2:CP$32,83,FALSE)/VLOOKUP(B53,[2]Трансп!A$2:CP$32,79,FALSE))*100</f>
        <v>#DIV/0!</v>
      </c>
      <c r="E53" t="s">
        <v>85</v>
      </c>
      <c r="F53">
        <f>VLOOKUP(B53,[2]Трансп!A$2:CP$32,77,FALSE)/1000</f>
        <v>0</v>
      </c>
      <c r="G53" s="82" t="e">
        <f>(1-VLOOKUP(B53,[2]Трансп!A$2:CP$32,81,FALSE)/VLOOKUP(B53,[2]Трансп!A$2:CP$32,77,FALSE))*100</f>
        <v>#DIV/0!</v>
      </c>
      <c r="H53" t="s">
        <v>85</v>
      </c>
    </row>
    <row r="54" spans="2:8" x14ac:dyDescent="0.25">
      <c r="B54" t="s">
        <v>56</v>
      </c>
      <c r="C54">
        <f>VLOOKUP(B54,[2]Трансп!A$2:CP$32,79,FALSE)/1000</f>
        <v>0</v>
      </c>
      <c r="D54" s="82" t="e">
        <f>(1-VLOOKUP(B54,[2]Трансп!A$2:CP$32,83,FALSE)/VLOOKUP(B54,[2]Трансп!A$2:CP$32,79,FALSE))*100</f>
        <v>#DIV/0!</v>
      </c>
      <c r="E54" t="s">
        <v>85</v>
      </c>
      <c r="F54">
        <f>VLOOKUP(B54,[2]Трансп!A$2:CP$32,77,FALSE)/1000</f>
        <v>0</v>
      </c>
      <c r="G54" s="82" t="e">
        <f>(1-VLOOKUP(B54,[2]Трансп!A$2:CP$32,81,FALSE)/VLOOKUP(B54,[2]Трансп!A$2:CP$32,77,FALSE))*100</f>
        <v>#DIV/0!</v>
      </c>
      <c r="H54" t="s">
        <v>85</v>
      </c>
    </row>
    <row r="55" spans="2:8" x14ac:dyDescent="0.25">
      <c r="B55" t="s">
        <v>57</v>
      </c>
      <c r="C55">
        <f>VLOOKUP(B55,[2]Трансп!A$2:CP$32,79,FALSE)/1000</f>
        <v>0</v>
      </c>
      <c r="D55" s="82" t="e">
        <f>(1-VLOOKUP(B55,[2]Трансп!A$2:CP$32,83,FALSE)/VLOOKUP(B55,[2]Трансп!A$2:CP$32,79,FALSE))*100</f>
        <v>#DIV/0!</v>
      </c>
      <c r="E55" t="s">
        <v>85</v>
      </c>
      <c r="F55">
        <f>VLOOKUP(B55,[2]Трансп!A$2:CP$32,77,FALSE)/1000</f>
        <v>0</v>
      </c>
      <c r="G55" s="82" t="e">
        <f>(1-VLOOKUP(B55,[2]Трансп!A$2:CP$32,81,FALSE)/VLOOKUP(B55,[2]Трансп!A$2:CP$32,77,FALSE))*100</f>
        <v>#DIV/0!</v>
      </c>
      <c r="H55" t="s">
        <v>85</v>
      </c>
    </row>
    <row r="56" spans="2:8" x14ac:dyDescent="0.25">
      <c r="B56" t="s">
        <v>58</v>
      </c>
      <c r="C56">
        <f>VLOOKUP(B56,[2]Трансп!A$2:CP$32,79,FALSE)/1000</f>
        <v>0</v>
      </c>
      <c r="D56" s="82" t="e">
        <f>(1-VLOOKUP(B56,[2]Трансп!A$2:CP$32,83,FALSE)/VLOOKUP(B56,[2]Трансп!A$2:CP$32,79,FALSE))*100</f>
        <v>#DIV/0!</v>
      </c>
      <c r="E56" t="s">
        <v>85</v>
      </c>
      <c r="F56">
        <f>VLOOKUP(B56,[2]Трансп!A$2:CP$32,77,FALSE)/1000</f>
        <v>0</v>
      </c>
      <c r="G56" s="82" t="e">
        <f>(1-VLOOKUP(B56,[2]Трансп!A$2:CP$32,81,FALSE)/VLOOKUP(B56,[2]Трансп!A$2:CP$32,77,FALSE))*100</f>
        <v>#DIV/0!</v>
      </c>
      <c r="H56" t="s">
        <v>85</v>
      </c>
    </row>
    <row r="57" spans="2:8" x14ac:dyDescent="0.25">
      <c r="B57" t="s">
        <v>59</v>
      </c>
      <c r="C57">
        <f>VLOOKUP(B57,[2]Трансп!A$2:CP$32,79,FALSE)/1000</f>
        <v>0</v>
      </c>
      <c r="D57" s="82" t="e">
        <f>(1-VLOOKUP(B57,[2]Трансп!A$2:CP$32,83,FALSE)/VLOOKUP(B57,[2]Трансп!A$2:CP$32,79,FALSE))*100</f>
        <v>#DIV/0!</v>
      </c>
      <c r="E57" t="s">
        <v>85</v>
      </c>
      <c r="F57">
        <f>VLOOKUP(B57,[2]Трансп!A$2:CP$32,77,FALSE)/1000</f>
        <v>0</v>
      </c>
      <c r="G57" s="82" t="e">
        <f>(1-VLOOKUP(B57,[2]Трансп!A$2:CP$32,81,FALSE)/VLOOKUP(B57,[2]Трансп!A$2:CP$32,77,FALSE))*100</f>
        <v>#DIV/0!</v>
      </c>
      <c r="H57" t="s">
        <v>85</v>
      </c>
    </row>
    <row r="58" spans="2:8" x14ac:dyDescent="0.25">
      <c r="B58" t="s">
        <v>60</v>
      </c>
      <c r="C58">
        <f>VLOOKUP(B58,[2]Трансп!A$2:CP$32,79,FALSE)/1000</f>
        <v>0</v>
      </c>
      <c r="D58" s="82" t="e">
        <f>(1-VLOOKUP(B58,[2]Трансп!A$2:CP$32,83,FALSE)/VLOOKUP(B58,[2]Трансп!A$2:CP$32,79,FALSE))*100</f>
        <v>#DIV/0!</v>
      </c>
      <c r="E58" t="s">
        <v>85</v>
      </c>
      <c r="F58">
        <f>VLOOKUP(B58,[2]Трансп!A$2:CP$32,77,FALSE)/1000</f>
        <v>0</v>
      </c>
      <c r="G58" s="82" t="e">
        <f>(1-VLOOKUP(B58,[2]Трансп!A$2:CP$32,81,FALSE)/VLOOKUP(B58,[2]Трансп!A$2:CP$32,77,FALSE))*100</f>
        <v>#DIV/0!</v>
      </c>
      <c r="H58" t="s">
        <v>85</v>
      </c>
    </row>
    <row r="59" spans="2:8" x14ac:dyDescent="0.25">
      <c r="B59" t="s">
        <v>86</v>
      </c>
      <c r="C59">
        <f>VLOOKUP(B59,[2]Трансп!A$2:CP$32,79,FALSE)/1000</f>
        <v>379.46904700000005</v>
      </c>
      <c r="D59" s="82">
        <f>(1-VLOOKUP(B59,[2]Трансп!A$2:CP$32,83,FALSE)/VLOOKUP(B59,[2]Трансп!A$2:CP$32,79,FALSE))*100</f>
        <v>4.3822038006699486</v>
      </c>
      <c r="E59" t="s">
        <v>85</v>
      </c>
      <c r="F59">
        <f>VLOOKUP(B59,[2]Трансп!A$2:CP$32,77,FALSE)/1000</f>
        <v>62.057000000000002</v>
      </c>
      <c r="G59" s="82">
        <f>(1-VLOOKUP(B59,[2]Трансп!A$2:CP$32,81,FALSE)/VLOOKUP(B59,[2]Трансп!A$2:CP$32,77,FALSE))*100</f>
        <v>14.501184394991707</v>
      </c>
      <c r="H59" t="s">
        <v>85</v>
      </c>
    </row>
    <row r="60" spans="2:8" x14ac:dyDescent="0.25">
      <c r="B60" t="s">
        <v>61</v>
      </c>
      <c r="C60">
        <f>VLOOKUP(B60,[2]Трансп!A$2:CP$32,79,FALSE)/1000</f>
        <v>0</v>
      </c>
      <c r="D60" s="82" t="e">
        <f>(1-VLOOKUP(B60,[2]Трансп!A$2:CP$32,83,FALSE)/VLOOKUP(B60,[2]Трансп!A$2:CP$32,79,FALSE))*100</f>
        <v>#DIV/0!</v>
      </c>
      <c r="E60" t="s">
        <v>85</v>
      </c>
      <c r="F60">
        <f>VLOOKUP(B60,[2]Трансп!A$2:CP$32,77,FALSE)/1000</f>
        <v>0</v>
      </c>
      <c r="G60" s="82" t="e">
        <f>(1-VLOOKUP(B60,[2]Трансп!A$2:CP$32,81,FALSE)/VLOOKUP(B60,[2]Трансп!A$2:CP$32,77,FALSE))*100</f>
        <v>#DIV/0!</v>
      </c>
      <c r="H60" t="s">
        <v>85</v>
      </c>
    </row>
    <row r="61" spans="2:8" x14ac:dyDescent="0.25">
      <c r="B61" t="s">
        <v>62</v>
      </c>
      <c r="C61">
        <f>VLOOKUP(B61,[2]Трансп!A$2:CP$32,79,FALSE)/1000</f>
        <v>3.3849999999999998</v>
      </c>
      <c r="D61" s="82">
        <f>(1-VLOOKUP(B61,[2]Трансп!A$2:CP$32,83,FALSE)/VLOOKUP(B61,[2]Трансп!A$2:CP$32,79,FALSE))*100</f>
        <v>84.756277695716392</v>
      </c>
      <c r="E61" t="s">
        <v>85</v>
      </c>
      <c r="F61">
        <f>VLOOKUP(B61,[2]Трансп!A$2:CP$32,77,FALSE)/1000</f>
        <v>3.2639999999999998</v>
      </c>
      <c r="G61" s="82">
        <f>(1-VLOOKUP(B61,[2]Трансп!A$2:CP$32,81,FALSE)/VLOOKUP(B61,[2]Трансп!A$2:CP$32,77,FALSE))*100</f>
        <v>86.887254901960787</v>
      </c>
      <c r="H61" t="s">
        <v>85</v>
      </c>
    </row>
    <row r="62" spans="2:8" x14ac:dyDescent="0.25">
      <c r="B62" t="s">
        <v>63</v>
      </c>
      <c r="C62">
        <f>VLOOKUP(B62,[2]Трансп!A$2:CP$32,79,FALSE)/1000</f>
        <v>6.9580000000000002</v>
      </c>
      <c r="D62" s="82">
        <f>(1-VLOOKUP(B62,[2]Трансп!A$2:CP$32,83,FALSE)/VLOOKUP(B62,[2]Трансп!A$2:CP$32,79,FALSE))*100</f>
        <v>100</v>
      </c>
      <c r="E62" t="s">
        <v>85</v>
      </c>
      <c r="F62">
        <f>VLOOKUP(B62,[2]Трансп!A$2:CP$32,77,FALSE)/1000</f>
        <v>6.9580000000000002</v>
      </c>
      <c r="G62" s="82">
        <f>(1-VLOOKUP(B62,[2]Трансп!A$2:CP$32,81,FALSE)/VLOOKUP(B62,[2]Трансп!A$2:CP$32,77,FALSE))*100</f>
        <v>100</v>
      </c>
      <c r="H62" t="s">
        <v>85</v>
      </c>
    </row>
    <row r="63" spans="2:8" x14ac:dyDescent="0.25">
      <c r="B63" t="s">
        <v>64</v>
      </c>
      <c r="C63">
        <f>VLOOKUP(B63,[2]Трансп!A$2:CP$32,79,FALSE)/1000</f>
        <v>0</v>
      </c>
      <c r="D63" s="82" t="e">
        <f>1-VLOOKUP(B63,[2]Трансп!A$2:CP$32,83,FALSE)/VLOOKUP(B63,[2]Трансп!A$2:CP$32,79,FALSE)</f>
        <v>#DIV/0!</v>
      </c>
      <c r="E63" t="s">
        <v>85</v>
      </c>
      <c r="F63">
        <f>VLOOKUP(B63,[2]Трансп!A$2:CP$32,77,FALSE)/1000</f>
        <v>0</v>
      </c>
      <c r="G63" s="82" t="e">
        <f>1-VLOOKUP(B63,[2]Трансп!A$2:CP$32,81,FALSE)/VLOOKUP(B63,[2]Трансп!A$2:CP$32,77,FALSE)</f>
        <v>#DIV/0!</v>
      </c>
      <c r="H63" t="s">
        <v>85</v>
      </c>
    </row>
    <row r="64" spans="2:8" x14ac:dyDescent="0.25">
      <c r="B64" t="s">
        <v>65</v>
      </c>
      <c r="C64">
        <f>VLOOKUP(B64,[2]Трансп!A$2:CP$32,79,FALSE)/1000</f>
        <v>0</v>
      </c>
      <c r="D64" s="82" t="e">
        <f>1-VLOOKUP(B64,[2]Трансп!A$2:CP$32,83,FALSE)/VLOOKUP(B64,[2]Трансп!A$2:CP$32,79,FALSE)</f>
        <v>#DIV/0!</v>
      </c>
      <c r="E64" t="s">
        <v>85</v>
      </c>
      <c r="F64">
        <f>VLOOKUP(B64,[2]Трансп!A$2:CP$32,77,FALSE)/1000</f>
        <v>0</v>
      </c>
      <c r="G64" s="82" t="e">
        <f>1-VLOOKUP(B64,[2]Трансп!A$2:CP$32,81,FALSE)/VLOOKUP(B64,[2]Трансп!A$2:CP$32,77,FALSE)</f>
        <v>#DIV/0!</v>
      </c>
      <c r="H64" t="s">
        <v>85</v>
      </c>
    </row>
    <row r="65" spans="2:8" x14ac:dyDescent="0.25">
      <c r="B65" t="s">
        <v>66</v>
      </c>
      <c r="C65">
        <f>VLOOKUP(B65,[2]Трансп!A$2:CP$32,79,FALSE)/1000</f>
        <v>0</v>
      </c>
      <c r="D65" s="82" t="e">
        <f>1-VLOOKUP(B65,[2]Трансп!A$2:CP$32,83,FALSE)/VLOOKUP(B65,[2]Трансп!A$2:CP$32,79,FALSE)</f>
        <v>#DIV/0!</v>
      </c>
      <c r="E65" t="s">
        <v>85</v>
      </c>
      <c r="F65">
        <f>VLOOKUP(B65,[2]Трансп!A$2:CP$32,77,FALSE)/1000</f>
        <v>0</v>
      </c>
      <c r="G65" s="82" t="e">
        <f>1-VLOOKUP(B65,[2]Трансп!A$2:CP$32,81,FALSE)/VLOOKUP(B65,[2]Трансп!A$2:CP$32,77,FALSE)</f>
        <v>#DIV/0!</v>
      </c>
      <c r="H65" t="s">
        <v>85</v>
      </c>
    </row>
    <row r="66" spans="2:8" x14ac:dyDescent="0.25">
      <c r="B66" t="s">
        <v>67</v>
      </c>
      <c r="C66">
        <f>VLOOKUP(B66,[2]Трансп!A$2:CP$32,79,FALSE)/1000</f>
        <v>0</v>
      </c>
      <c r="D66" s="82" t="e">
        <f>1-VLOOKUP(B66,[2]Трансп!A$2:CP$32,83,FALSE)/VLOOKUP(B66,[2]Трансп!A$2:CP$32,79,FALSE)</f>
        <v>#DIV/0!</v>
      </c>
      <c r="E66" t="s">
        <v>85</v>
      </c>
      <c r="F66">
        <f>VLOOKUP(B66,[2]Трансп!A$2:CP$32,77,FALSE)/1000</f>
        <v>0</v>
      </c>
      <c r="G66" s="82" t="e">
        <f>1-VLOOKUP(B66,[2]Трансп!A$2:CP$32,81,FALSE)/VLOOKUP(B66,[2]Трансп!A$2:CP$32,77,FALSE)</f>
        <v>#DIV/0!</v>
      </c>
      <c r="H66" t="s">
        <v>85</v>
      </c>
    </row>
    <row r="67" spans="2:8" x14ac:dyDescent="0.25">
      <c r="B67" t="s">
        <v>68</v>
      </c>
      <c r="C67">
        <f>VLOOKUP(B67,[2]Трансп!A$2:CP$32,79,FALSE)/1000</f>
        <v>0</v>
      </c>
      <c r="D67" s="82" t="e">
        <f>1-VLOOKUP(B67,[2]Трансп!A$2:CP$32,83,FALSE)/VLOOKUP(B67,[2]Трансп!A$2:CP$32,79,FALSE)</f>
        <v>#DIV/0!</v>
      </c>
      <c r="E67" t="s">
        <v>85</v>
      </c>
      <c r="F67">
        <f>VLOOKUP(B67,[2]Трансп!A$2:CP$32,77,FALSE)/1000</f>
        <v>0</v>
      </c>
      <c r="G67" s="82" t="e">
        <f>1-VLOOKUP(B67,[2]Трансп!A$2:CP$32,81,FALSE)/VLOOKUP(B67,[2]Трансп!A$2:CP$32,77,FALSE)</f>
        <v>#DIV/0!</v>
      </c>
      <c r="H67" t="s">
        <v>85</v>
      </c>
    </row>
    <row r="68" spans="2:8" x14ac:dyDescent="0.25">
      <c r="B68" t="s">
        <v>69</v>
      </c>
      <c r="C68">
        <f>VLOOKUP(B68,[2]Трансп!A$2:CP$32,79,FALSE)/1000</f>
        <v>0</v>
      </c>
      <c r="D68" s="82" t="e">
        <f>1-VLOOKUP(B68,[2]Трансп!A$2:CP$32,83,FALSE)/VLOOKUP(B68,[2]Трансп!A$2:CP$32,79,FALSE)</f>
        <v>#DIV/0!</v>
      </c>
      <c r="E68" t="s">
        <v>85</v>
      </c>
      <c r="F68">
        <f>VLOOKUP(B68,[2]Трансп!A$2:CP$32,77,FALSE)/1000</f>
        <v>0</v>
      </c>
      <c r="G68" s="82" t="e">
        <f>1-VLOOKUP(B68,[2]Трансп!A$2:CP$32,81,FALSE)/VLOOKUP(B68,[2]Трансп!A$2:CP$32,77,FALSE)</f>
        <v>#DIV/0!</v>
      </c>
      <c r="H68" t="s">
        <v>85</v>
      </c>
    </row>
  </sheetData>
  <mergeCells count="5">
    <mergeCell ref="A2:A3"/>
    <mergeCell ref="B2:B3"/>
    <mergeCell ref="C2:E2"/>
    <mergeCell ref="F2:H2"/>
    <mergeCell ref="I2:I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B25A5-5580-4B69-BB60-86F0AB72BCA8}">
  <dimension ref="A1:R48"/>
  <sheetViews>
    <sheetView workbookViewId="0">
      <selection activeCell="M9" sqref="M9"/>
    </sheetView>
  </sheetViews>
  <sheetFormatPr defaultRowHeight="15" x14ac:dyDescent="0.25"/>
  <cols>
    <col min="2" max="2" width="95.7109375" customWidth="1"/>
    <col min="3" max="4" width="9.140625" style="11"/>
    <col min="5" max="5" width="9.140625" style="52"/>
    <col min="6" max="7" width="9.140625" style="11"/>
    <col min="8" max="8" width="9.140625" style="52"/>
    <col min="10" max="10" width="15.7109375" style="63" customWidth="1"/>
  </cols>
  <sheetData>
    <row r="1" spans="1:10" s="35" customFormat="1" x14ac:dyDescent="0.25">
      <c r="A1" s="46" t="s">
        <v>123</v>
      </c>
      <c r="J1" s="68"/>
    </row>
    <row r="2" spans="1:10" s="35" customFormat="1" x14ac:dyDescent="0.25">
      <c r="A2" s="98" t="s">
        <v>2</v>
      </c>
      <c r="B2" s="98" t="s">
        <v>0</v>
      </c>
      <c r="C2" s="107" t="s">
        <v>87</v>
      </c>
      <c r="D2" s="107"/>
      <c r="E2" s="107"/>
      <c r="F2" s="107" t="s">
        <v>77</v>
      </c>
      <c r="G2" s="107"/>
      <c r="H2" s="107"/>
      <c r="I2" s="107" t="s">
        <v>119</v>
      </c>
      <c r="J2" s="68"/>
    </row>
    <row r="3" spans="1:10" s="35" customFormat="1" ht="101.25" x14ac:dyDescent="0.25">
      <c r="A3" s="98"/>
      <c r="B3" s="98"/>
      <c r="C3" s="51" t="s">
        <v>120</v>
      </c>
      <c r="D3" s="51" t="s">
        <v>121</v>
      </c>
      <c r="E3" s="51" t="s">
        <v>122</v>
      </c>
      <c r="F3" s="51" t="s">
        <v>120</v>
      </c>
      <c r="G3" s="51" t="s">
        <v>121</v>
      </c>
      <c r="H3" s="51" t="s">
        <v>122</v>
      </c>
      <c r="I3" s="107"/>
      <c r="J3" s="68"/>
    </row>
    <row r="4" spans="1:10" x14ac:dyDescent="0.25">
      <c r="A4" s="29">
        <v>1</v>
      </c>
      <c r="B4" s="69" t="s">
        <v>43</v>
      </c>
      <c r="C4" s="20">
        <f>VLOOKUP(B4,[2]Трансп!A$2:CP$32,79,FALSE)/1000</f>
        <v>2904.85861312</v>
      </c>
      <c r="D4" s="20">
        <f>VLOOKUP(B4,[2]Трансп!A$2:CP$32,83,FALSE)/1000</f>
        <v>2734.01250304</v>
      </c>
      <c r="E4" s="20" t="s">
        <v>85</v>
      </c>
      <c r="F4" s="20">
        <f>VLOOKUP(B4,[2]Трансп!A$2:CP$32,77,FALSE)/1000</f>
        <v>2015.1103565445501</v>
      </c>
      <c r="G4" s="20">
        <f>VLOOKUP(B4,[2]Трансп!A$2:CP$32,81,FALSE)/1000</f>
        <v>1718.52205782537</v>
      </c>
      <c r="H4" s="20" t="s">
        <v>85</v>
      </c>
      <c r="I4" s="30">
        <f>(C4/F4-1)*100</f>
        <v>44.153822825920216</v>
      </c>
      <c r="J4" s="63">
        <v>7703381419</v>
      </c>
    </row>
    <row r="5" spans="1:10" x14ac:dyDescent="0.25">
      <c r="A5" s="29">
        <v>2</v>
      </c>
      <c r="B5" s="69" t="s">
        <v>17</v>
      </c>
      <c r="C5" s="20">
        <f>VLOOKUP(B5,[1]Трансп!A$3:U$39,10,FALSE)/1000</f>
        <v>2411.614</v>
      </c>
      <c r="D5" s="20">
        <f>VLOOKUP(B5,[1]Трансп!A$3:U$39,14,FALSE)/1000</f>
        <v>2399.9380000000001</v>
      </c>
      <c r="E5" s="20">
        <f>VLOOKUP(B5,[1]Трансп!A$3:U$39,17,FALSE)/1000</f>
        <v>0</v>
      </c>
      <c r="F5" s="20">
        <f>VLOOKUP(B5,[1]Трансп!A$3:U$39,8,FALSE)/1000</f>
        <v>1835.306</v>
      </c>
      <c r="G5" s="20">
        <f>VLOOKUP(B5,[1]Трансп!A$3:U$39,12,FALSE)/1000</f>
        <v>1827.1310000000001</v>
      </c>
      <c r="H5" s="20">
        <f>VLOOKUP(B5,[1]Трансп!A$3:U$39,15,FALSE)/1000</f>
        <v>0</v>
      </c>
      <c r="I5" s="30">
        <f t="shared" ref="I5:I48" si="0">(C5/F5-1)*100</f>
        <v>31.401194133294386</v>
      </c>
      <c r="J5" s="63">
        <v>2310981029</v>
      </c>
    </row>
    <row r="6" spans="1:10" x14ac:dyDescent="0.25">
      <c r="A6" s="29">
        <v>3</v>
      </c>
      <c r="B6" s="69" t="s">
        <v>18</v>
      </c>
      <c r="C6" s="20">
        <f>VLOOKUP(B6,[1]Трансп!A$3:U$39,10,FALSE)/1000</f>
        <v>1810.3291999999999</v>
      </c>
      <c r="D6" s="20">
        <f>VLOOKUP(B6,[1]Трансп!A$3:U$39,14,FALSE)/1000</f>
        <v>1788.0721000000001</v>
      </c>
      <c r="E6" s="20">
        <f>VLOOKUP(B6,[1]Трансп!A$3:U$39,17,FALSE)/1000</f>
        <v>0</v>
      </c>
      <c r="F6" s="20">
        <f>VLOOKUP(B6,[1]Трансп!A$3:U$39,8,FALSE)/1000</f>
        <v>1131.8176000000001</v>
      </c>
      <c r="G6" s="20">
        <f>VLOOKUP(B6,[1]Трансп!A$3:U$39,12,FALSE)/1000</f>
        <v>1109.7284999999999</v>
      </c>
      <c r="H6" s="20">
        <f>VLOOKUP(B6,[1]Трансп!A$3:U$39,15,FALSE)/1000</f>
        <v>0</v>
      </c>
      <c r="I6" s="30">
        <f t="shared" si="0"/>
        <v>59.94884688133493</v>
      </c>
      <c r="J6" s="63">
        <v>9102023109</v>
      </c>
    </row>
    <row r="7" spans="1:10" x14ac:dyDescent="0.25">
      <c r="A7" s="29">
        <v>4</v>
      </c>
      <c r="B7" s="69" t="s">
        <v>30</v>
      </c>
      <c r="C7" s="20">
        <f>VLOOKUP(B7,[1]Трансп!A$3:U$39,10,FALSE)/1000</f>
        <v>1670.78</v>
      </c>
      <c r="D7" s="20">
        <f>VLOOKUP(B7,[1]Трансп!A$3:U$39,14,FALSE)/1000</f>
        <v>1634.665</v>
      </c>
      <c r="E7" s="20">
        <f>VLOOKUP(B7,[1]Трансп!A$3:U$39,17,FALSE)/1000</f>
        <v>566.64995999999996</v>
      </c>
      <c r="F7" s="20">
        <f>VLOOKUP(B7,[1]Трансп!A$3:U$39,8,FALSE)/1000</f>
        <v>1535.46</v>
      </c>
      <c r="G7" s="20">
        <f>VLOOKUP(B7,[1]Трансп!A$3:U$39,12,FALSE)/1000</f>
        <v>1517.694</v>
      </c>
      <c r="H7" s="20">
        <f>VLOOKUP(B7,[1]Трансп!A$3:U$39,15,FALSE)/1000</f>
        <v>254.95699999999999</v>
      </c>
      <c r="I7" s="30">
        <f t="shared" si="0"/>
        <v>8.8129941515897379</v>
      </c>
      <c r="J7" s="63">
        <v>6671118019</v>
      </c>
    </row>
    <row r="8" spans="1:10" x14ac:dyDescent="0.25">
      <c r="A8" s="29">
        <v>5</v>
      </c>
      <c r="B8" s="69" t="s">
        <v>34</v>
      </c>
      <c r="C8" s="20">
        <f>VLOOKUP(B8,[1]Трансп!A$3:U$39,10,FALSE)/1000</f>
        <v>1658.179891</v>
      </c>
      <c r="D8" s="20">
        <f>VLOOKUP(B8,[1]Трансп!A$3:U$39,14,FALSE)/1000</f>
        <v>1543.6013580000001</v>
      </c>
      <c r="E8" s="20">
        <f>VLOOKUP(B8,[1]Трансп!A$3:U$39,17,FALSE)/1000</f>
        <v>493.51456100000001</v>
      </c>
      <c r="F8" s="20">
        <f>VLOOKUP(B8,[1]Трансп!A$3:U$39,8,FALSE)/1000</f>
        <v>1349.248</v>
      </c>
      <c r="G8" s="20">
        <f>VLOOKUP(B8,[1]Трансп!A$3:U$39,12,FALSE)/1000</f>
        <v>498.18299999999999</v>
      </c>
      <c r="H8" s="20">
        <f>VLOOKUP(B8,[1]Трансп!A$3:U$39,15,FALSE)/1000</f>
        <v>268.82100000000003</v>
      </c>
      <c r="I8" s="30">
        <f t="shared" si="0"/>
        <v>22.896598030903135</v>
      </c>
      <c r="J8" s="63">
        <v>1655259599</v>
      </c>
    </row>
    <row r="9" spans="1:10" x14ac:dyDescent="0.25">
      <c r="A9" s="29">
        <v>6</v>
      </c>
      <c r="B9" s="69" t="s">
        <v>27</v>
      </c>
      <c r="C9" s="20">
        <f>VLOOKUP(B9,[1]Трансп!A$3:U$39,10,FALSE)/1000</f>
        <v>1618.5570700000001</v>
      </c>
      <c r="D9" s="20">
        <f>VLOOKUP(B9,[1]Трансп!A$3:U$39,14,FALSE)/1000</f>
        <v>1571.20407</v>
      </c>
      <c r="E9" s="20">
        <f>VLOOKUP(B9,[1]Трансп!A$3:U$39,17,FALSE)/1000</f>
        <v>0</v>
      </c>
      <c r="F9" s="20">
        <f>VLOOKUP(B9,[1]Трансп!A$3:U$39,8,FALSE)/1000</f>
        <v>1409.9659199999999</v>
      </c>
      <c r="G9" s="20">
        <f>VLOOKUP(B9,[1]Трансп!A$3:U$39,12,FALSE)/1000</f>
        <v>1353.6865299999999</v>
      </c>
      <c r="H9" s="20">
        <f>VLOOKUP(B9,[1]Трансп!A$3:U$39,15,FALSE)/1000</f>
        <v>0</v>
      </c>
      <c r="I9" s="30">
        <f t="shared" si="0"/>
        <v>14.794056157045276</v>
      </c>
      <c r="J9" s="63">
        <v>6164072742</v>
      </c>
    </row>
    <row r="10" spans="1:10" x14ac:dyDescent="0.25">
      <c r="A10" s="29">
        <v>7</v>
      </c>
      <c r="B10" s="69" t="s">
        <v>35</v>
      </c>
      <c r="C10" s="20">
        <f>VLOOKUP(B10,[1]Трансп!A$3:U$39,10,FALSE)/1000</f>
        <v>1547.7912426</v>
      </c>
      <c r="D10" s="20">
        <f>VLOOKUP(B10,[1]Трансп!A$3:U$39,14,FALSE)/1000</f>
        <v>1531.98918301</v>
      </c>
      <c r="E10" s="20">
        <f>VLOOKUP(B10,[1]Трансп!A$3:U$39,17,FALSE)/1000</f>
        <v>405.84460740999998</v>
      </c>
      <c r="F10" s="20">
        <f>VLOOKUP(B10,[1]Трансп!A$3:U$39,8,FALSE)/1000</f>
        <v>1335.1154960000001</v>
      </c>
      <c r="G10" s="20">
        <f>VLOOKUP(B10,[1]Трансп!A$3:U$39,12,FALSE)/1000</f>
        <v>1315.773743</v>
      </c>
      <c r="H10" s="20">
        <f>VLOOKUP(B10,[1]Трансп!A$3:U$39,15,FALSE)/1000</f>
        <v>100.09334</v>
      </c>
      <c r="I10" s="30">
        <f t="shared" si="0"/>
        <v>15.92938942265112</v>
      </c>
      <c r="J10" s="63">
        <v>1831045838</v>
      </c>
    </row>
    <row r="11" spans="1:10" x14ac:dyDescent="0.25">
      <c r="A11" s="29">
        <v>8</v>
      </c>
      <c r="B11" s="69" t="s">
        <v>38</v>
      </c>
      <c r="C11" s="20">
        <f>VLOOKUP(B11,[1]Трансп!A$3:U$39,10,FALSE)/1000</f>
        <v>1348.258</v>
      </c>
      <c r="D11" s="20">
        <f>VLOOKUP(B11,[1]Трансп!A$3:U$39,14,FALSE)/1000</f>
        <v>1327.6690000000001</v>
      </c>
      <c r="E11" s="20">
        <f>VLOOKUP(B11,[1]Трансп!A$3:U$39,17,FALSE)/1000</f>
        <v>1.4999999999999999E-2</v>
      </c>
      <c r="F11" s="20">
        <f>VLOOKUP(B11,[1]Трансп!A$3:U$39,8,FALSE)/1000</f>
        <v>715.05</v>
      </c>
      <c r="G11" s="20">
        <f>VLOOKUP(B11,[1]Трансп!A$3:U$39,12,FALSE)/1000</f>
        <v>703.00199999999995</v>
      </c>
      <c r="H11" s="20">
        <f>VLOOKUP(B11,[1]Трансп!A$3:U$39,15,FALSE)/1000</f>
        <v>3.0339999999999998</v>
      </c>
      <c r="I11" s="30">
        <f t="shared" si="0"/>
        <v>88.554366827494604</v>
      </c>
      <c r="J11" s="63">
        <v>2130058291</v>
      </c>
    </row>
    <row r="12" spans="1:10" x14ac:dyDescent="0.25">
      <c r="A12" s="29">
        <v>9</v>
      </c>
      <c r="B12" s="69" t="s">
        <v>29</v>
      </c>
      <c r="C12" s="20">
        <f>VLOOKUP(B12,[1]Трансп!A$3:U$39,10,FALSE)/1000</f>
        <v>1163.8620000000001</v>
      </c>
      <c r="D12" s="20">
        <f>VLOOKUP(B12,[1]Трансп!A$3:U$39,14,FALSE)/1000</f>
        <v>283.99599999999998</v>
      </c>
      <c r="E12" s="20">
        <f>VLOOKUP(B12,[1]Трансп!A$3:U$39,17,FALSE)/1000</f>
        <v>147.46600000000001</v>
      </c>
      <c r="F12" s="20">
        <f>VLOOKUP(B12,[1]Трансп!A$3:U$39,8,FALSE)/1000</f>
        <v>1071.328</v>
      </c>
      <c r="G12" s="20">
        <f>VLOOKUP(B12,[1]Трансп!A$3:U$39,12,FALSE)/1000</f>
        <v>552.96699999999998</v>
      </c>
      <c r="H12" s="20">
        <f>VLOOKUP(B12,[1]Трансп!A$3:U$39,15,FALSE)/1000</f>
        <v>188.90600000000001</v>
      </c>
      <c r="I12" s="30">
        <f t="shared" si="0"/>
        <v>8.637317422862111</v>
      </c>
      <c r="J12" s="63">
        <v>1435296482</v>
      </c>
    </row>
    <row r="13" spans="1:10" x14ac:dyDescent="0.25">
      <c r="A13" s="29">
        <v>10</v>
      </c>
      <c r="B13" s="69" t="s">
        <v>39</v>
      </c>
      <c r="C13" s="20">
        <f>VLOOKUP(B13,[1]Трансп!A$3:U$39,10,FALSE)/1000</f>
        <v>1116.3810000000001</v>
      </c>
      <c r="D13" s="20">
        <f>VLOOKUP(B13,[1]Трансп!A$3:U$39,14,FALSE)/1000</f>
        <v>1092.8969999999999</v>
      </c>
      <c r="E13" s="20">
        <f>VLOOKUP(B13,[1]Трансп!A$3:U$39,17,FALSE)/1000</f>
        <v>0</v>
      </c>
      <c r="F13" s="20">
        <f>VLOOKUP(B13,[1]Трансп!A$3:U$39,8,FALSE)/1000</f>
        <v>999.30200000000002</v>
      </c>
      <c r="G13" s="20">
        <f>VLOOKUP(B13,[1]Трансп!A$3:U$39,12,FALSE)/1000</f>
        <v>985.65599999999995</v>
      </c>
      <c r="H13" s="20">
        <f>VLOOKUP(B13,[1]Трансп!A$3:U$39,15,FALSE)/1000</f>
        <v>0</v>
      </c>
      <c r="I13" s="30">
        <f t="shared" si="0"/>
        <v>11.716077822319981</v>
      </c>
      <c r="J13" s="63">
        <v>8601042850</v>
      </c>
    </row>
    <row r="14" spans="1:10" x14ac:dyDescent="0.25">
      <c r="A14" s="29">
        <v>11</v>
      </c>
      <c r="B14" s="69" t="s">
        <v>32</v>
      </c>
      <c r="C14" s="20">
        <f>VLOOKUP(B14,[1]Трансп!A$3:U$39,10,FALSE)/1000</f>
        <v>1113.373</v>
      </c>
      <c r="D14" s="20">
        <f>VLOOKUP(B14,[1]Трансп!A$3:U$39,14,FALSE)/1000</f>
        <v>1090.9529700000001</v>
      </c>
      <c r="E14" s="20">
        <f>VLOOKUP(B14,[1]Трансп!A$3:U$39,17,FALSE)/1000</f>
        <v>0</v>
      </c>
      <c r="F14" s="20">
        <f>VLOOKUP(B14,[1]Трансп!A$3:U$39,8,FALSE)/1000</f>
        <v>860.92899999999997</v>
      </c>
      <c r="G14" s="20">
        <f>VLOOKUP(B14,[1]Трансп!A$3:U$39,12,FALSE)/1000</f>
        <v>847.81700000000001</v>
      </c>
      <c r="H14" s="20">
        <f>VLOOKUP(B14,[1]Трансп!A$3:U$39,15,FALSE)/1000</f>
        <v>0</v>
      </c>
      <c r="I14" s="30">
        <f t="shared" si="0"/>
        <v>29.322278608340536</v>
      </c>
      <c r="J14" s="63">
        <v>2634091033</v>
      </c>
    </row>
    <row r="15" spans="1:10" x14ac:dyDescent="0.25">
      <c r="A15" s="29">
        <v>12</v>
      </c>
      <c r="B15" s="69" t="s">
        <v>24</v>
      </c>
      <c r="C15" s="20">
        <f>VLOOKUP(B15,[1]Трансп!A$3:U$39,10,FALSE)/1000</f>
        <v>1066.117</v>
      </c>
      <c r="D15" s="20">
        <f>VLOOKUP(B15,[1]Трансп!A$3:U$39,14,FALSE)/1000</f>
        <v>1056.6369999999999</v>
      </c>
      <c r="E15" s="20">
        <f>VLOOKUP(B15,[1]Трансп!A$3:U$39,17,FALSE)/1000</f>
        <v>0</v>
      </c>
      <c r="F15" s="20">
        <f>VLOOKUP(B15,[1]Трансп!A$3:U$39,8,FALSE)/1000</f>
        <v>917.05399999999997</v>
      </c>
      <c r="G15" s="20">
        <f>VLOOKUP(B15,[1]Трансп!A$3:U$39,12,FALSE)/1000</f>
        <v>911.56</v>
      </c>
      <c r="H15" s="20">
        <f>VLOOKUP(B15,[1]Трансп!A$3:U$39,15,FALSE)/1000</f>
        <v>0</v>
      </c>
      <c r="I15" s="30">
        <f t="shared" si="0"/>
        <v>16.2545498956441</v>
      </c>
      <c r="J15" s="63">
        <v>5406570716</v>
      </c>
    </row>
    <row r="16" spans="1:10" x14ac:dyDescent="0.25">
      <c r="A16" s="29">
        <v>13</v>
      </c>
      <c r="B16" s="69" t="s">
        <v>16</v>
      </c>
      <c r="C16" s="20">
        <f>VLOOKUP(B16,[1]Трансп!A$3:U$39,10,FALSE)/1000</f>
        <v>935.89800000000002</v>
      </c>
      <c r="D16" s="20">
        <f>VLOOKUP(B16,[1]Трансп!A$3:U$39,14,FALSE)/1000</f>
        <v>928.75900000000001</v>
      </c>
      <c r="E16" s="20">
        <f>VLOOKUP(B16,[1]Трансп!A$3:U$39,17,FALSE)/1000</f>
        <v>25.702000000000002</v>
      </c>
      <c r="F16" s="20">
        <f>VLOOKUP(B16,[1]Трансп!A$3:U$39,8,FALSE)/1000</f>
        <v>776.11500000000001</v>
      </c>
      <c r="G16" s="20">
        <f>VLOOKUP(B16,[1]Трансп!A$3:U$39,12,FALSE)/1000</f>
        <v>764.72400000000005</v>
      </c>
      <c r="H16" s="20">
        <f>VLOOKUP(B16,[1]Трансп!A$3:U$39,15,FALSE)/1000</f>
        <v>27.718</v>
      </c>
      <c r="I16" s="30">
        <f t="shared" si="0"/>
        <v>20.587541794708251</v>
      </c>
      <c r="J16" s="63">
        <v>4345045088</v>
      </c>
    </row>
    <row r="17" spans="1:18" x14ac:dyDescent="0.25">
      <c r="A17" s="29">
        <v>14</v>
      </c>
      <c r="B17" s="69" t="s">
        <v>23</v>
      </c>
      <c r="C17" s="20">
        <f>VLOOKUP(B17,[1]Трансп!A$3:U$39,10,FALSE)/1000</f>
        <v>882.46199999999999</v>
      </c>
      <c r="D17" s="20">
        <f>VLOOKUP(B17,[1]Трансп!A$3:U$39,14,FALSE)/1000</f>
        <v>865.91300000000001</v>
      </c>
      <c r="E17" s="20">
        <f>VLOOKUP(B17,[1]Трансп!A$3:U$39,17,FALSE)/1000</f>
        <v>33.752000000000002</v>
      </c>
      <c r="F17" s="20">
        <f>VLOOKUP(B17,[1]Трансп!A$3:U$39,8,FALSE)/1000</f>
        <v>735.81399999999996</v>
      </c>
      <c r="G17" s="20">
        <f>VLOOKUP(B17,[1]Трансп!A$3:U$39,12,FALSE)/1000</f>
        <v>725.63199999999995</v>
      </c>
      <c r="H17" s="20">
        <f>VLOOKUP(B17,[1]Трансп!A$3:U$39,15,FALSE)/1000</f>
        <v>0.86399999999999999</v>
      </c>
      <c r="I17" s="30">
        <f t="shared" si="0"/>
        <v>19.930036666875051</v>
      </c>
      <c r="J17" s="63">
        <v>5321059541</v>
      </c>
    </row>
    <row r="18" spans="1:18" x14ac:dyDescent="0.25">
      <c r="A18" s="29">
        <v>15</v>
      </c>
      <c r="B18" s="69" t="s">
        <v>5</v>
      </c>
      <c r="C18" s="20">
        <f>VLOOKUP(B18,[1]Трансп!A$3:U$39,10,FALSE)/1000</f>
        <v>814.94677000000001</v>
      </c>
      <c r="D18" s="20">
        <f>VLOOKUP(B18,[1]Трансп!A$3:U$39,14,FALSE)/1000</f>
        <v>811.03065800000002</v>
      </c>
      <c r="E18" s="20">
        <f>VLOOKUP(B18,[1]Трансп!A$3:U$39,17,FALSE)/1000</f>
        <v>198.296055</v>
      </c>
      <c r="F18" s="20">
        <f>VLOOKUP(B18,[1]Трансп!A$3:U$39,8,FALSE)/1000</f>
        <v>445.37513000000001</v>
      </c>
      <c r="G18" s="20">
        <f>VLOOKUP(B18,[1]Трансп!A$3:U$39,12,FALSE)/1000</f>
        <v>434.96899999999999</v>
      </c>
      <c r="H18" s="20">
        <f>VLOOKUP(B18,[1]Трансп!A$3:U$39,15,FALSE)/1000</f>
        <v>0</v>
      </c>
      <c r="I18" s="30">
        <f t="shared" si="0"/>
        <v>82.979855655613278</v>
      </c>
      <c r="J18" s="63">
        <v>2221171632</v>
      </c>
    </row>
    <row r="19" spans="1:18" x14ac:dyDescent="0.25">
      <c r="A19" s="29">
        <v>16</v>
      </c>
      <c r="B19" s="69" t="s">
        <v>22</v>
      </c>
      <c r="C19" s="20">
        <f>VLOOKUP(B19,[1]Трансп!A$3:U$39,10,FALSE)/1000</f>
        <v>795.95969600000001</v>
      </c>
      <c r="D19" s="20">
        <f>VLOOKUP(B19,[1]Трансп!A$3:U$39,14,FALSE)/1000</f>
        <v>742.91794800000002</v>
      </c>
      <c r="E19" s="20">
        <f>VLOOKUP(B19,[1]Трансп!A$3:U$39,17,FALSE)/1000</f>
        <v>0</v>
      </c>
      <c r="F19" s="20">
        <f>VLOOKUP(B19,[1]Трансп!A$3:U$39,8,FALSE)/1000</f>
        <v>584.85199999999998</v>
      </c>
      <c r="G19" s="20">
        <f>VLOOKUP(B19,[1]Трансп!A$3:U$39,12,FALSE)/1000</f>
        <v>518.46900000000005</v>
      </c>
      <c r="H19" s="20">
        <f>VLOOKUP(B19,[1]Трансп!A$3:U$39,15,FALSE)/1000</f>
        <v>0</v>
      </c>
      <c r="I19" s="30">
        <f t="shared" si="0"/>
        <v>36.095917599666237</v>
      </c>
      <c r="J19" s="63" t="s">
        <v>152</v>
      </c>
    </row>
    <row r="20" spans="1:18" x14ac:dyDescent="0.25">
      <c r="A20" s="29">
        <v>17</v>
      </c>
      <c r="B20" s="69" t="s">
        <v>10</v>
      </c>
      <c r="C20" s="20">
        <f>VLOOKUP(B20,[1]Трансп!A$3:U$39,10,FALSE)/1000</f>
        <v>768.19500000000005</v>
      </c>
      <c r="D20" s="20">
        <f>VLOOKUP(B20,[1]Трансп!A$3:U$39,14,FALSE)/1000</f>
        <v>764.36800000000005</v>
      </c>
      <c r="E20" s="20">
        <f>VLOOKUP(B20,[1]Трансп!A$3:U$39,17,FALSE)/1000</f>
        <v>62.645000000000003</v>
      </c>
      <c r="F20" s="20">
        <f>VLOOKUP(B20,[1]Трансп!A$3:U$39,8,FALSE)/1000</f>
        <v>577.99599999999998</v>
      </c>
      <c r="G20" s="20">
        <f>VLOOKUP(B20,[1]Трансп!A$3:U$39,12,FALSE)/1000</f>
        <v>553.99199999999996</v>
      </c>
      <c r="H20" s="20">
        <f>VLOOKUP(B20,[1]Трансп!A$3:U$39,15,FALSE)/1000</f>
        <v>86.272999999999996</v>
      </c>
      <c r="I20" s="30">
        <f t="shared" si="0"/>
        <v>32.90662911162017</v>
      </c>
      <c r="J20" s="63">
        <v>3525251257</v>
      </c>
    </row>
    <row r="21" spans="1:18" x14ac:dyDescent="0.25">
      <c r="A21" s="29">
        <v>18</v>
      </c>
      <c r="B21" s="69" t="s">
        <v>13</v>
      </c>
      <c r="C21" s="20">
        <f>VLOOKUP(B21,[1]Трансп!A$3:U$39,10,FALSE)/1000</f>
        <v>732.27300000000002</v>
      </c>
      <c r="D21" s="20">
        <f>VLOOKUP(B21,[1]Трансп!A$3:U$39,14,FALSE)/1000</f>
        <v>723.04399999999998</v>
      </c>
      <c r="E21" s="20">
        <f>VLOOKUP(B21,[1]Трансп!A$3:U$39,17,FALSE)/1000</f>
        <v>0</v>
      </c>
      <c r="F21" s="20">
        <f>VLOOKUP(B21,[1]Трансп!A$3:U$39,8,FALSE)/1000</f>
        <v>528.21</v>
      </c>
      <c r="G21" s="20">
        <f>VLOOKUP(B21,[1]Трансп!A$3:U$39,12,FALSE)/1000</f>
        <v>522.89099999999996</v>
      </c>
      <c r="H21" s="20">
        <f>VLOOKUP(B21,[1]Трансп!A$3:U$39,15,FALSE)/1000</f>
        <v>0</v>
      </c>
      <c r="I21" s="30">
        <f t="shared" si="0"/>
        <v>38.632930084625428</v>
      </c>
      <c r="J21" s="63">
        <v>3801990027</v>
      </c>
    </row>
    <row r="22" spans="1:18" s="37" customFormat="1" x14ac:dyDescent="0.25">
      <c r="A22" s="79">
        <v>19</v>
      </c>
      <c r="B22" s="76" t="s">
        <v>7</v>
      </c>
      <c r="C22" s="33">
        <f>VLOOKUP(B22,[1]Трансп!A$3:U$39,10,FALSE)/1000</f>
        <v>719.99569799999995</v>
      </c>
      <c r="D22" s="33">
        <f>VLOOKUP(B22,[1]Трансп!A$3:U$39,14,FALSE)/1000</f>
        <v>661.42</v>
      </c>
      <c r="E22" s="33">
        <f>VLOOKUP(B22,[1]Трансп!A$3:U$39,17,FALSE)/1000</f>
        <v>73</v>
      </c>
      <c r="F22" s="33">
        <f>VLOOKUP(B22,[1]Трансп!A$3:U$39,8,FALSE)/1000</f>
        <v>530.81035600000007</v>
      </c>
      <c r="G22" s="33">
        <f>VLOOKUP(B22,[1]Трансп!A$3:U$39,12,FALSE)/1000</f>
        <v>461.012</v>
      </c>
      <c r="H22" s="33">
        <f>VLOOKUP(B22,[1]Трансп!A$3:U$39,15,FALSE)/1000</f>
        <v>24.5</v>
      </c>
      <c r="I22" s="75">
        <f t="shared" si="0"/>
        <v>35.640853623436051</v>
      </c>
      <c r="J22" s="67">
        <v>2901204067</v>
      </c>
      <c r="L22"/>
      <c r="M22"/>
      <c r="N22"/>
      <c r="O22"/>
      <c r="P22"/>
      <c r="Q22"/>
      <c r="R22"/>
    </row>
    <row r="23" spans="1:18" x14ac:dyDescent="0.25">
      <c r="A23" s="29">
        <v>20</v>
      </c>
      <c r="B23" s="69" t="s">
        <v>21</v>
      </c>
      <c r="C23" s="20">
        <f>VLOOKUP(B23,[1]Трансп!A$3:U$39,10,FALSE)/1000</f>
        <v>687.73340000000007</v>
      </c>
      <c r="D23" s="20">
        <f>VLOOKUP(B23,[1]Трансп!A$3:U$39,14,FALSE)/1000</f>
        <v>643.02139999999997</v>
      </c>
      <c r="E23" s="20">
        <f>VLOOKUP(B23,[1]Трансп!A$3:U$39,17,FALSE)/1000</f>
        <v>15.5326</v>
      </c>
      <c r="F23" s="20">
        <f>VLOOKUP(B23,[1]Трансп!A$3:U$39,8,FALSE)/1000</f>
        <v>479.03809999999999</v>
      </c>
      <c r="G23" s="20">
        <f>VLOOKUP(B23,[1]Трансп!A$3:U$39,12,FALSE)/1000</f>
        <v>472.0951</v>
      </c>
      <c r="H23" s="20">
        <f>VLOOKUP(B23,[1]Трансп!A$3:U$39,15,FALSE)/1000</f>
        <v>16.475999999999999</v>
      </c>
      <c r="I23" s="30">
        <f t="shared" si="0"/>
        <v>43.565490928592119</v>
      </c>
      <c r="J23" s="63">
        <v>4824047100</v>
      </c>
    </row>
    <row r="24" spans="1:18" x14ac:dyDescent="0.25">
      <c r="A24" s="29">
        <v>21</v>
      </c>
      <c r="B24" s="69" t="s">
        <v>14</v>
      </c>
      <c r="C24" s="20">
        <f>VLOOKUP(B24,[1]Трансп!A$3:U$39,10,FALSE)/1000</f>
        <v>672.87400000000002</v>
      </c>
      <c r="D24" s="20">
        <f>VLOOKUP(B24,[1]Трансп!A$3:U$39,14,FALSE)/1000</f>
        <v>656.58799999999997</v>
      </c>
      <c r="E24" s="20">
        <f>VLOOKUP(B24,[1]Трансп!A$3:U$39,17,FALSE)/1000</f>
        <v>1.6519999999999999</v>
      </c>
      <c r="F24" s="20">
        <f>VLOOKUP(B24,[1]Трансп!A$3:U$39,8,FALSE)/1000</f>
        <v>561.88199999999995</v>
      </c>
      <c r="G24" s="20">
        <f>VLOOKUP(B24,[1]Трансп!A$3:U$39,12,FALSE)/1000</f>
        <v>536.95399999999995</v>
      </c>
      <c r="H24" s="20">
        <f>VLOOKUP(B24,[1]Трансп!A$3:U$39,15,FALSE)/1000</f>
        <v>4.5170000000000003</v>
      </c>
      <c r="I24" s="30">
        <f t="shared" si="0"/>
        <v>19.753613748082355</v>
      </c>
      <c r="J24" s="63">
        <v>4101091354</v>
      </c>
    </row>
    <row r="25" spans="1:18" x14ac:dyDescent="0.25">
      <c r="A25" s="29">
        <v>22</v>
      </c>
      <c r="B25" s="69" t="s">
        <v>9</v>
      </c>
      <c r="C25" s="20">
        <f>VLOOKUP(B25,[1]Трансп!A$3:U$39,10,FALSE)/1000</f>
        <v>664.553</v>
      </c>
      <c r="D25" s="20">
        <f>VLOOKUP(B25,[1]Трансп!A$3:U$39,14,FALSE)/1000</f>
        <v>655.93600000000004</v>
      </c>
      <c r="E25" s="20">
        <f>VLOOKUP(B25,[1]Трансп!A$3:U$39,17,FALSE)/1000</f>
        <v>0</v>
      </c>
      <c r="F25" s="20">
        <f>VLOOKUP(B25,[1]Трансп!A$3:U$39,8,FALSE)/1000</f>
        <v>507.27100000000002</v>
      </c>
      <c r="G25" s="20">
        <f>VLOOKUP(B25,[1]Трансп!A$3:U$39,12,FALSE)/1000</f>
        <v>498.596</v>
      </c>
      <c r="H25" s="20">
        <f>VLOOKUP(B25,[1]Трансп!A$3:U$39,15,FALSE)/1000</f>
        <v>0</v>
      </c>
      <c r="I25" s="30">
        <f t="shared" si="0"/>
        <v>31.005517760723556</v>
      </c>
      <c r="J25" s="63">
        <v>275066729</v>
      </c>
    </row>
    <row r="26" spans="1:18" x14ac:dyDescent="0.25">
      <c r="A26" s="29">
        <v>23</v>
      </c>
      <c r="B26" s="69" t="s">
        <v>15</v>
      </c>
      <c r="C26" s="20">
        <f>VLOOKUP(B26,[1]Трансп!A$3:U$39,10,FALSE)/1000</f>
        <v>648.96951000000001</v>
      </c>
      <c r="D26" s="20">
        <f>VLOOKUP(B26,[1]Трансп!A$3:U$39,14,FALSE)/1000</f>
        <v>630.71501999999998</v>
      </c>
      <c r="E26" s="20">
        <f>VLOOKUP(B26,[1]Трансп!A$3:U$39,17,FALSE)/1000</f>
        <v>1E-3</v>
      </c>
      <c r="F26" s="20">
        <f>VLOOKUP(B26,[1]Трансп!A$3:U$39,8,FALSE)/1000</f>
        <v>555.03</v>
      </c>
      <c r="G26" s="20">
        <f>VLOOKUP(B26,[1]Трансп!A$3:U$39,12,FALSE)/1000</f>
        <v>537.10500000000002</v>
      </c>
      <c r="H26" s="20">
        <f>VLOOKUP(B26,[1]Трансп!A$3:U$39,15,FALSE)/1000</f>
        <v>27.8</v>
      </c>
      <c r="I26" s="30">
        <f t="shared" si="0"/>
        <v>16.925122966326157</v>
      </c>
      <c r="J26" s="63">
        <v>4207043015</v>
      </c>
    </row>
    <row r="27" spans="1:18" x14ac:dyDescent="0.25">
      <c r="A27" s="29">
        <v>24</v>
      </c>
      <c r="B27" s="69" t="s">
        <v>37</v>
      </c>
      <c r="C27" s="20">
        <f>VLOOKUP(B27,[1]Трансп!A$3:U$39,10,FALSE)/1000</f>
        <v>647.226</v>
      </c>
      <c r="D27" s="20">
        <f>VLOOKUP(B27,[1]Трансп!A$3:U$39,14,FALSE)/1000</f>
        <v>634.47299999999996</v>
      </c>
      <c r="E27" s="20">
        <f>VLOOKUP(B27,[1]Трансп!A$3:U$39,17,FALSE)/1000</f>
        <v>0</v>
      </c>
      <c r="F27" s="20">
        <f>VLOOKUP(B27,[1]Трансп!A$3:U$39,8,FALSE)/1000</f>
        <v>460.97500000000002</v>
      </c>
      <c r="G27" s="20">
        <f>VLOOKUP(B27,[1]Трансп!A$3:U$39,12,FALSE)/1000</f>
        <v>452.05099999999999</v>
      </c>
      <c r="H27" s="20">
        <f>VLOOKUP(B27,[1]Трансп!A$3:U$39,15,FALSE)/1000</f>
        <v>1.0569999999999999</v>
      </c>
      <c r="I27" s="30">
        <f t="shared" si="0"/>
        <v>40.403709528716305</v>
      </c>
      <c r="J27" s="63">
        <v>2721052016</v>
      </c>
    </row>
    <row r="28" spans="1:18" x14ac:dyDescent="0.25">
      <c r="A28" s="29">
        <v>25</v>
      </c>
      <c r="B28" s="69" t="s">
        <v>25</v>
      </c>
      <c r="C28" s="20">
        <f>VLOOKUP(B28,[1]Трансп!A$3:U$39,10,FALSE)/1000</f>
        <v>600.83600000000001</v>
      </c>
      <c r="D28" s="20">
        <f>VLOOKUP(B28,[1]Трансп!A$3:U$39,14,FALSE)/1000</f>
        <v>600.65899999999999</v>
      </c>
      <c r="E28" s="20">
        <f>VLOOKUP(B28,[1]Трансп!A$3:U$39,17,FALSE)/1000</f>
        <v>0</v>
      </c>
      <c r="F28" s="20">
        <f>VLOOKUP(B28,[1]Трансп!A$3:U$39,8,FALSE)/1000</f>
        <v>513.50599999999997</v>
      </c>
      <c r="G28" s="20">
        <f>VLOOKUP(B28,[1]Трансп!A$3:U$39,12,FALSE)/1000</f>
        <v>511.17200000000003</v>
      </c>
      <c r="H28" s="20">
        <f>VLOOKUP(B28,[1]Трансп!A$3:U$39,15,FALSE)/1000</f>
        <v>0</v>
      </c>
      <c r="I28" s="30">
        <f t="shared" si="0"/>
        <v>17.006617254715639</v>
      </c>
      <c r="J28" s="63">
        <v>5753990187</v>
      </c>
    </row>
    <row r="29" spans="1:18" x14ac:dyDescent="0.25">
      <c r="A29" s="29">
        <v>26</v>
      </c>
      <c r="B29" s="69" t="s">
        <v>26</v>
      </c>
      <c r="C29" s="20">
        <f>VLOOKUP(B29,[1]Трансп!A$3:U$39,10,FALSE)/1000</f>
        <v>598.77</v>
      </c>
      <c r="D29" s="20">
        <f>VLOOKUP(B29,[1]Трансп!A$3:U$39,14,FALSE)/1000</f>
        <v>597.71799999999996</v>
      </c>
      <c r="E29" s="20">
        <f>VLOOKUP(B29,[1]Трансп!A$3:U$39,17,FALSE)/1000</f>
        <v>0</v>
      </c>
      <c r="F29" s="20">
        <f>VLOOKUP(B29,[1]Трансп!A$3:U$39,8,FALSE)/1000</f>
        <v>410.66699999999997</v>
      </c>
      <c r="G29" s="20">
        <f>VLOOKUP(B29,[1]Трансп!A$3:U$39,12,FALSE)/1000</f>
        <v>409.30799999999999</v>
      </c>
      <c r="H29" s="20">
        <f>VLOOKUP(B29,[1]Трансп!A$3:U$39,15,FALSE)/1000</f>
        <v>0</v>
      </c>
      <c r="I29" s="30">
        <f t="shared" si="0"/>
        <v>45.804264769265622</v>
      </c>
      <c r="J29" s="63">
        <v>5835073174</v>
      </c>
    </row>
    <row r="30" spans="1:18" x14ac:dyDescent="0.25">
      <c r="A30" s="29">
        <v>27</v>
      </c>
      <c r="B30" s="69" t="s">
        <v>41</v>
      </c>
      <c r="C30" s="20">
        <f>VLOOKUP(B30,[1]Трансп!A$3:U$39,10,FALSE)/1000</f>
        <v>527.96112000000005</v>
      </c>
      <c r="D30" s="20">
        <f>VLOOKUP(B30,[1]Трансп!A$3:U$39,14,FALSE)/1000</f>
        <v>526.97531000000004</v>
      </c>
      <c r="E30" s="20">
        <f>VLOOKUP(B30,[1]Трансп!A$3:U$39,17,FALSE)/1000</f>
        <v>0</v>
      </c>
      <c r="F30" s="20">
        <f>VLOOKUP(B30,[1]Трансп!A$3:U$39,8,FALSE)/1000</f>
        <v>316.411</v>
      </c>
      <c r="G30" s="20">
        <f>VLOOKUP(B30,[1]Трансп!A$3:U$39,12,FALSE)/1000</f>
        <v>315.29300000000001</v>
      </c>
      <c r="H30" s="20">
        <f>VLOOKUP(B30,[1]Трансп!A$3:U$39,15,FALSE)/1000</f>
        <v>0</v>
      </c>
      <c r="I30" s="30">
        <f t="shared" si="0"/>
        <v>66.859281124866101</v>
      </c>
      <c r="J30" s="63">
        <v>7604192192</v>
      </c>
    </row>
    <row r="31" spans="1:18" x14ac:dyDescent="0.25">
      <c r="A31" s="29">
        <v>28</v>
      </c>
      <c r="B31" s="69" t="s">
        <v>8</v>
      </c>
      <c r="C31" s="20">
        <f>VLOOKUP(B31,[1]Трансп!A$3:U$39,10,FALSE)/1000</f>
        <v>494.49</v>
      </c>
      <c r="D31" s="20">
        <f>VLOOKUP(B31,[1]Трансп!A$3:U$39,14,FALSE)/1000</f>
        <v>477.87099999999998</v>
      </c>
      <c r="E31" s="20">
        <f>VLOOKUP(B31,[1]Трансп!A$3:U$39,17,FALSE)/1000</f>
        <v>0.33</v>
      </c>
      <c r="F31" s="20">
        <f>VLOOKUP(B31,[1]Трансп!A$3:U$39,8,FALSE)/1000</f>
        <v>391.98899999999998</v>
      </c>
      <c r="G31" s="20">
        <f>VLOOKUP(B31,[1]Трансп!A$3:U$39,12,FALSE)/1000</f>
        <v>373.29500000000002</v>
      </c>
      <c r="H31" s="20">
        <f>VLOOKUP(B31,[1]Трансп!A$3:U$39,15,FALSE)/1000</f>
        <v>0.33400000000000002</v>
      </c>
      <c r="I31" s="30">
        <f t="shared" si="0"/>
        <v>26.148948057215904</v>
      </c>
      <c r="J31" s="63">
        <v>3015028318</v>
      </c>
    </row>
    <row r="32" spans="1:18" s="37" customFormat="1" x14ac:dyDescent="0.25">
      <c r="A32" s="79">
        <v>29</v>
      </c>
      <c r="B32" s="76" t="s">
        <v>28</v>
      </c>
      <c r="C32" s="33">
        <f>VLOOKUP(B32,[1]Трансп!A$3:U$39,10,FALSE)/1000</f>
        <v>462.053</v>
      </c>
      <c r="D32" s="33">
        <f>VLOOKUP(B32,[1]Трансп!A$3:U$39,14,FALSE)/1000</f>
        <v>433.56299999999999</v>
      </c>
      <c r="E32" s="33">
        <f>VLOOKUP(B32,[1]Трансп!A$3:U$39,17,FALSE)/1000</f>
        <v>0</v>
      </c>
      <c r="F32" s="33">
        <f>VLOOKUP(B32,[1]Трансп!A$3:U$39,8,FALSE)/1000</f>
        <v>269.25099999999998</v>
      </c>
      <c r="G32" s="33">
        <f>VLOOKUP(B32,[1]Трансп!A$3:U$39,12,FALSE)/1000</f>
        <v>239.13200000000001</v>
      </c>
      <c r="H32" s="33">
        <f>VLOOKUP(B32,[1]Трансп!A$3:U$39,15,FALSE)/1000</f>
        <v>0</v>
      </c>
      <c r="I32" s="75">
        <f t="shared" si="0"/>
        <v>71.6067906897282</v>
      </c>
      <c r="J32" s="67">
        <v>6450939546</v>
      </c>
      <c r="L32"/>
      <c r="M32"/>
      <c r="N32"/>
      <c r="O32"/>
      <c r="P32"/>
      <c r="Q32"/>
      <c r="R32"/>
    </row>
    <row r="33" spans="1:18" x14ac:dyDescent="0.25">
      <c r="A33" s="29">
        <v>30</v>
      </c>
      <c r="B33" s="69" t="s">
        <v>20</v>
      </c>
      <c r="C33" s="20">
        <f>VLOOKUP(B33,[1]Трансп!A$3:U$39,10,FALSE)/1000</f>
        <v>436.25900000000001</v>
      </c>
      <c r="D33" s="20">
        <f>VLOOKUP(B33,[1]Трансп!A$3:U$39,14,FALSE)/1000</f>
        <v>430.10399999999998</v>
      </c>
      <c r="E33" s="20">
        <f>VLOOKUP(B33,[1]Трансп!A$3:U$39,17,FALSE)/1000</f>
        <v>0</v>
      </c>
      <c r="F33" s="20">
        <f>VLOOKUP(B33,[1]Трансп!A$3:U$39,8,FALSE)/1000</f>
        <v>195.18600000000001</v>
      </c>
      <c r="G33" s="20">
        <f>VLOOKUP(B33,[1]Трансп!A$3:U$39,12,FALSE)/1000</f>
        <v>189.625</v>
      </c>
      <c r="H33" s="20">
        <f>VLOOKUP(B33,[1]Трансп!A$3:U$39,15,FALSE)/1000</f>
        <v>0</v>
      </c>
      <c r="I33" s="30">
        <f t="shared" si="0"/>
        <v>123.50937054911726</v>
      </c>
      <c r="J33" s="63">
        <v>4632066518</v>
      </c>
    </row>
    <row r="34" spans="1:18" x14ac:dyDescent="0.25">
      <c r="A34" s="29">
        <v>31</v>
      </c>
      <c r="B34" s="69" t="s">
        <v>86</v>
      </c>
      <c r="C34" s="20">
        <f>VLOOKUP(B34,[2]Трансп!A$2:CP$32,79,FALSE)/1000</f>
        <v>379.46904700000005</v>
      </c>
      <c r="D34" s="20">
        <f>VLOOKUP(B34,[2]Трансп!A$2:CP$32,83,FALSE)/1000</f>
        <v>362.83994000000001</v>
      </c>
      <c r="E34" s="20" t="s">
        <v>85</v>
      </c>
      <c r="F34" s="20">
        <f>VLOOKUP(B34,[2]Трансп!A$2:CP$32,77,FALSE)/1000</f>
        <v>62.057000000000002</v>
      </c>
      <c r="G34" s="20">
        <f>VLOOKUP(B34,[2]Трансп!A$2:CP$32,81,FALSE)/1000</f>
        <v>53.058</v>
      </c>
      <c r="H34" s="20" t="s">
        <v>85</v>
      </c>
      <c r="I34" s="30">
        <f t="shared" si="0"/>
        <v>511.48467860193057</v>
      </c>
      <c r="J34" s="63" t="s">
        <v>145</v>
      </c>
    </row>
    <row r="35" spans="1:18" s="37" customFormat="1" x14ac:dyDescent="0.25">
      <c r="A35" s="79">
        <v>32</v>
      </c>
      <c r="B35" s="76" t="s">
        <v>44</v>
      </c>
      <c r="C35" s="33">
        <f>VLOOKUP(B35,[2]Трансп!A$2:CP$32,79,FALSE)/1000</f>
        <v>370</v>
      </c>
      <c r="D35" s="33">
        <f>VLOOKUP(B35,[2]Трансп!A$2:CP$32,83,FALSE)/1000</f>
        <v>370</v>
      </c>
      <c r="E35" s="33" t="s">
        <v>85</v>
      </c>
      <c r="F35" s="33">
        <f>VLOOKUP(B35,[2]Трансп!A$2:CP$32,77,FALSE)/1000</f>
        <v>164</v>
      </c>
      <c r="G35" s="33">
        <f>VLOOKUP(B35,[2]Трансп!A$2:CP$32,81,FALSE)/1000</f>
        <v>164</v>
      </c>
      <c r="H35" s="33" t="s">
        <v>85</v>
      </c>
      <c r="I35" s="75">
        <f t="shared" si="0"/>
        <v>125.60975609756096</v>
      </c>
      <c r="J35" s="67">
        <v>7704472891</v>
      </c>
      <c r="L35"/>
      <c r="M35"/>
      <c r="N35"/>
      <c r="O35"/>
      <c r="P35"/>
      <c r="Q35"/>
      <c r="R35"/>
    </row>
    <row r="36" spans="1:18" x14ac:dyDescent="0.25">
      <c r="A36" s="29">
        <v>33</v>
      </c>
      <c r="B36" s="69" t="s">
        <v>99</v>
      </c>
      <c r="C36" s="20">
        <f>VLOOKUP(B36,[1]Трансп!A$3:U$39,10,FALSE)/1000</f>
        <v>296.91773000000001</v>
      </c>
      <c r="D36" s="20">
        <f>VLOOKUP(B36,[1]Трансп!A$3:U$39,14,FALSE)/1000</f>
        <v>296.75890999999996</v>
      </c>
      <c r="E36" s="20">
        <v>0</v>
      </c>
      <c r="F36" s="20">
        <v>0</v>
      </c>
      <c r="G36" s="20">
        <v>0</v>
      </c>
      <c r="H36" s="20">
        <v>0</v>
      </c>
      <c r="I36" s="30" t="s">
        <v>100</v>
      </c>
      <c r="J36" s="63" t="s">
        <v>154</v>
      </c>
    </row>
    <row r="37" spans="1:18" x14ac:dyDescent="0.25">
      <c r="A37" s="29">
        <v>34</v>
      </c>
      <c r="B37" s="69" t="s">
        <v>12</v>
      </c>
      <c r="C37" s="20">
        <f>VLOOKUP(B37,[1]Трансп!A$3:U$39,10,FALSE)/1000</f>
        <v>220.476</v>
      </c>
      <c r="D37" s="20">
        <f>VLOOKUP(B37,[1]Трансп!A$3:U$39,14,FALSE)/1000</f>
        <v>218.29499999999999</v>
      </c>
      <c r="E37" s="20">
        <f>VLOOKUP(B37,[1]Трансп!A$3:U$39,17,FALSE)/1000</f>
        <v>369.87</v>
      </c>
      <c r="F37" s="20">
        <f>VLOOKUP(B37,[1]Трансп!A$3:U$39,8,FALSE)/1000</f>
        <v>103.82299999999999</v>
      </c>
      <c r="G37" s="20">
        <f>VLOOKUP(B37,[1]Трансп!A$3:U$39,12,FALSE)/1000</f>
        <v>102.102</v>
      </c>
      <c r="H37" s="20">
        <f>VLOOKUP(B37,[1]Трансп!A$3:U$39,15,FALSE)/1000</f>
        <v>43</v>
      </c>
      <c r="I37" s="30">
        <f t="shared" si="0"/>
        <v>112.35757009525828</v>
      </c>
      <c r="J37" s="63">
        <v>7536165141</v>
      </c>
    </row>
    <row r="38" spans="1:18" x14ac:dyDescent="0.25">
      <c r="A38" s="29">
        <v>35</v>
      </c>
      <c r="B38" s="69" t="s">
        <v>19</v>
      </c>
      <c r="C38" s="20">
        <f>VLOOKUP(B38,[1]Трансп!A$3:U$39,10,FALSE)/1000</f>
        <v>212.709</v>
      </c>
      <c r="D38" s="20">
        <f>VLOOKUP(B38,[1]Трансп!A$3:U$39,14,FALSE)/1000</f>
        <v>188.535</v>
      </c>
      <c r="E38" s="20">
        <f>VLOOKUP(B38,[1]Трансп!A$3:U$39,17,FALSE)/1000</f>
        <v>0</v>
      </c>
      <c r="F38" s="20">
        <f>VLOOKUP(B38,[1]Трансп!A$3:U$39,8,FALSE)/1000</f>
        <v>156.75299999999999</v>
      </c>
      <c r="G38" s="20">
        <f>VLOOKUP(B38,[1]Трансп!A$3:U$39,12,FALSE)/1000</f>
        <v>43.820999999999998</v>
      </c>
      <c r="H38" s="20">
        <f>VLOOKUP(B38,[1]Трансп!A$3:U$39,15,FALSE)/1000</f>
        <v>0</v>
      </c>
      <c r="I38" s="30">
        <f t="shared" si="0"/>
        <v>35.696924460775882</v>
      </c>
      <c r="J38" s="63">
        <v>4501153372</v>
      </c>
    </row>
    <row r="39" spans="1:18" x14ac:dyDescent="0.25">
      <c r="A39" s="29">
        <v>36</v>
      </c>
      <c r="B39" s="69" t="s">
        <v>6</v>
      </c>
      <c r="C39" s="20">
        <f>VLOOKUP(B39,[1]Трансп!A$3:U$39,10,FALSE)/1000</f>
        <v>199.81800000000001</v>
      </c>
      <c r="D39" s="20">
        <f>VLOOKUP(B39,[1]Трансп!A$3:U$39,14,FALSE)/1000</f>
        <v>197.488</v>
      </c>
      <c r="E39" s="20">
        <f>VLOOKUP(B39,[1]Трансп!A$3:U$39,17,FALSE)/1000</f>
        <v>0</v>
      </c>
      <c r="F39" s="20">
        <f>VLOOKUP(B39,[1]Трансп!A$3:U$39,8,FALSE)/1000</f>
        <v>161.21600000000001</v>
      </c>
      <c r="G39" s="20">
        <f>VLOOKUP(B39,[1]Трансп!A$3:U$39,12,FALSE)/1000</f>
        <v>161.21600000000001</v>
      </c>
      <c r="H39" s="20">
        <f>VLOOKUP(B39,[1]Трансп!A$3:U$39,15,FALSE)/1000</f>
        <v>0</v>
      </c>
      <c r="I39" s="30">
        <f t="shared" si="0"/>
        <v>23.944273521238578</v>
      </c>
      <c r="J39" s="63">
        <v>2801249882</v>
      </c>
    </row>
    <row r="40" spans="1:18" x14ac:dyDescent="0.25">
      <c r="A40" s="29">
        <v>37</v>
      </c>
      <c r="B40" s="69" t="s">
        <v>40</v>
      </c>
      <c r="C40" s="20">
        <f>VLOOKUP(B40,[1]Трансп!A$3:U$39,10,FALSE)/1000</f>
        <v>151.53531000000001</v>
      </c>
      <c r="D40" s="20">
        <f>VLOOKUP(B40,[1]Трансп!A$3:U$39,14,FALSE)/1000</f>
        <v>141.84016999999997</v>
      </c>
      <c r="E40" s="20">
        <f>VLOOKUP(B40,[1]Трансп!A$3:U$39,17,FALSE)/1000</f>
        <v>2.8998000000000004</v>
      </c>
      <c r="F40" s="20">
        <f>VLOOKUP(B40,[1]Трансп!A$3:U$39,8,FALSE)/1000</f>
        <v>178.57266000000001</v>
      </c>
      <c r="G40" s="20">
        <f>VLOOKUP(B40,[1]Трансп!A$3:U$39,12,FALSE)/1000</f>
        <v>174.75906000000001</v>
      </c>
      <c r="H40" s="20">
        <f>VLOOKUP(B40,[1]Трансп!A$3:U$39,15,FALSE)/1000</f>
        <v>10.726809999999999</v>
      </c>
      <c r="I40" s="30">
        <f t="shared" si="0"/>
        <v>-15.140811588963288</v>
      </c>
      <c r="J40" s="63">
        <v>1435296482</v>
      </c>
    </row>
    <row r="41" spans="1:18" x14ac:dyDescent="0.25">
      <c r="A41" s="29">
        <v>38</v>
      </c>
      <c r="B41" s="69" t="s">
        <v>53</v>
      </c>
      <c r="C41" s="20">
        <f>VLOOKUP(B41,[2]Трансп!A$2:CP$32,79,FALSE)/1000</f>
        <v>114.47272835999999</v>
      </c>
      <c r="D41" s="20">
        <f>VLOOKUP(B41,[2]Трансп!A$2:CP$32,83,FALSE)/1000</f>
        <v>58.861543929999996</v>
      </c>
      <c r="E41" s="20" t="s">
        <v>85</v>
      </c>
      <c r="F41" s="20">
        <f>VLOOKUP(B41,[2]Трансп!A$2:CP$32,77,FALSE)/1000</f>
        <v>93.614999999999995</v>
      </c>
      <c r="G41" s="20">
        <f>VLOOKUP(B41,[2]Трансп!A$2:CP$32,81,FALSE)/1000</f>
        <v>50.533000000000001</v>
      </c>
      <c r="H41" s="20" t="s">
        <v>85</v>
      </c>
      <c r="I41" s="30">
        <f t="shared" si="0"/>
        <v>22.280327255247556</v>
      </c>
      <c r="J41" s="63" t="s">
        <v>149</v>
      </c>
    </row>
    <row r="42" spans="1:18" x14ac:dyDescent="0.25">
      <c r="A42" s="29">
        <v>39</v>
      </c>
      <c r="B42" s="69" t="s">
        <v>11</v>
      </c>
      <c r="C42" s="20">
        <f>VLOOKUP(B42,[1]Трансп!A$3:U$39,10,FALSE)/1000</f>
        <v>85.304000000000002</v>
      </c>
      <c r="D42" s="20">
        <f>VLOOKUP(B42,[1]Трансп!A$3:U$39,14,FALSE)/1000</f>
        <v>85.304000000000002</v>
      </c>
      <c r="E42" s="20">
        <f>VLOOKUP(B42,[1]Трансп!A$3:U$39,17,FALSE)/1000</f>
        <v>0</v>
      </c>
      <c r="F42" s="20">
        <f>VLOOKUP(B42,[1]Трансп!A$3:U$39,8,FALSE)/1000</f>
        <v>42.494</v>
      </c>
      <c r="G42" s="20">
        <f>VLOOKUP(B42,[1]Трансп!A$3:U$39,12,FALSE)/1000</f>
        <v>42.494</v>
      </c>
      <c r="H42" s="20">
        <f>VLOOKUP(B42,[1]Трансп!A$3:U$39,15,FALSE)/1000</f>
        <v>0</v>
      </c>
      <c r="I42" s="30">
        <f t="shared" si="0"/>
        <v>100.74363439544408</v>
      </c>
      <c r="J42" s="63">
        <v>7901550330</v>
      </c>
    </row>
    <row r="43" spans="1:18" x14ac:dyDescent="0.25">
      <c r="A43" s="29">
        <v>40</v>
      </c>
      <c r="B43" s="69" t="s">
        <v>33</v>
      </c>
      <c r="C43" s="20">
        <f>VLOOKUP(B43,[1]Трансп!A$3:U$39,10,FALSE)/1000</f>
        <v>70.72</v>
      </c>
      <c r="D43" s="20">
        <f>VLOOKUP(B43,[1]Трансп!A$3:U$39,14,FALSE)/1000</f>
        <v>69.286000000000001</v>
      </c>
      <c r="E43" s="20">
        <f>VLOOKUP(B43,[1]Трансп!A$3:U$39,17,FALSE)/1000</f>
        <v>0</v>
      </c>
      <c r="F43" s="20">
        <f>VLOOKUP(B43,[1]Трансп!A$3:U$39,8,FALSE)/1000</f>
        <v>73.449780000000004</v>
      </c>
      <c r="G43" s="20">
        <f>VLOOKUP(B43,[1]Трансп!A$3:U$39,12,FALSE)/1000</f>
        <v>72.313410000000005</v>
      </c>
      <c r="H43" s="20">
        <f>VLOOKUP(B43,[1]Трансп!A$3:U$39,15,FALSE)/1000</f>
        <v>0</v>
      </c>
      <c r="I43" s="30">
        <f t="shared" si="0"/>
        <v>-3.7165257676741947</v>
      </c>
      <c r="J43" s="63">
        <v>6154035727</v>
      </c>
    </row>
    <row r="44" spans="1:18" x14ac:dyDescent="0.25">
      <c r="A44" s="29">
        <v>41</v>
      </c>
      <c r="B44" s="69" t="s">
        <v>47</v>
      </c>
      <c r="C44" s="20">
        <f>VLOOKUP(B44,[2]Трансп!A$2:CP$32,79,FALSE)/1000</f>
        <v>61.265000000000001</v>
      </c>
      <c r="D44" s="20">
        <f>VLOOKUP(B44,[2]Трансп!A$2:CP$32,83,FALSE)/1000</f>
        <v>52.94</v>
      </c>
      <c r="E44" s="20" t="s">
        <v>85</v>
      </c>
      <c r="F44" s="20">
        <f>VLOOKUP(B44,[2]Трансп!A$2:CP$32,77,FALSE)/1000</f>
        <v>38.728000000000002</v>
      </c>
      <c r="G44" s="20">
        <f>VLOOKUP(B44,[2]Трансп!A$2:CP$32,81,FALSE)/1000</f>
        <v>34.277999999999999</v>
      </c>
      <c r="H44" s="20" t="s">
        <v>85</v>
      </c>
      <c r="I44" s="30">
        <f t="shared" si="0"/>
        <v>58.193038628382567</v>
      </c>
      <c r="J44" s="63">
        <v>5407487242</v>
      </c>
    </row>
    <row r="45" spans="1:18" x14ac:dyDescent="0.25">
      <c r="A45" s="29">
        <v>42</v>
      </c>
      <c r="B45" s="69" t="s">
        <v>42</v>
      </c>
      <c r="C45" s="20">
        <f>VLOOKUP(B45,[2]Трансп!A$2:CP$32,79,FALSE)/1000</f>
        <v>46.058999999999997</v>
      </c>
      <c r="D45" s="20">
        <f>VLOOKUP(B45,[2]Трансп!A$2:CP$32,83,FALSE)/1000</f>
        <v>32.356000000000002</v>
      </c>
      <c r="E45" s="20" t="s">
        <v>85</v>
      </c>
      <c r="F45" s="20">
        <f>VLOOKUP(B45,[2]Трансп!A$2:CP$32,77,FALSE)/1000</f>
        <v>19.584</v>
      </c>
      <c r="G45" s="20">
        <f>VLOOKUP(B45,[2]Трансп!A$2:CP$32,81,FALSE)/1000</f>
        <v>14.151999999999999</v>
      </c>
      <c r="H45" s="20" t="s">
        <v>85</v>
      </c>
      <c r="I45" s="30">
        <f t="shared" si="0"/>
        <v>135.18688725490193</v>
      </c>
      <c r="J45" s="63" t="s">
        <v>148</v>
      </c>
    </row>
    <row r="46" spans="1:18" x14ac:dyDescent="0.25">
      <c r="A46" s="29">
        <v>43</v>
      </c>
      <c r="B46" s="69" t="s">
        <v>36</v>
      </c>
      <c r="C46" s="20">
        <f>VLOOKUP(B46,[1]Трансп!A$3:U$39,10,FALSE)/1000</f>
        <v>34.923999999999999</v>
      </c>
      <c r="D46" s="20">
        <f>VLOOKUP(B46,[1]Трансп!A$3:U$39,14,FALSE)/1000</f>
        <v>33.863999999999997</v>
      </c>
      <c r="E46" s="20">
        <f>VLOOKUP(B46,[1]Трансп!A$3:U$39,17,FALSE)/1000</f>
        <v>0</v>
      </c>
      <c r="F46" s="20">
        <f>VLOOKUP(B46,[1]Трансп!A$3:U$39,8,FALSE)/1000</f>
        <v>30.148</v>
      </c>
      <c r="G46" s="20">
        <f>VLOOKUP(B46,[1]Трансп!A$3:U$39,12,FALSE)/1000</f>
        <v>28.273</v>
      </c>
      <c r="H46" s="20">
        <f>VLOOKUP(B46,[1]Трансп!A$3:U$39,15,FALSE)/1000</f>
        <v>0</v>
      </c>
      <c r="I46" s="30">
        <f t="shared" si="0"/>
        <v>15.841846888682509</v>
      </c>
      <c r="J46" s="63">
        <v>3818029140</v>
      </c>
    </row>
    <row r="47" spans="1:18" x14ac:dyDescent="0.25">
      <c r="A47" s="29">
        <v>44</v>
      </c>
      <c r="B47" s="69" t="s">
        <v>63</v>
      </c>
      <c r="C47" s="20">
        <f>VLOOKUP(B47,[2]Трансп!A$2:CP$32,79,FALSE)/1000</f>
        <v>6.9580000000000002</v>
      </c>
      <c r="D47" s="20">
        <f>VLOOKUP(B47,[2]Трансп!A$2:CP$32,83,FALSE)/1000</f>
        <v>0</v>
      </c>
      <c r="E47" s="20" t="s">
        <v>85</v>
      </c>
      <c r="F47" s="20">
        <f>VLOOKUP(B47,[2]Трансп!A$2:CP$32,77,FALSE)/1000</f>
        <v>6.9580000000000002</v>
      </c>
      <c r="G47" s="20">
        <f>VLOOKUP(B47,[2]Трансп!A$2:CP$32,81,FALSE)/1000</f>
        <v>0</v>
      </c>
      <c r="H47" s="20" t="s">
        <v>85</v>
      </c>
      <c r="I47" s="30">
        <f t="shared" si="0"/>
        <v>0</v>
      </c>
      <c r="J47" s="63" t="s">
        <v>151</v>
      </c>
    </row>
    <row r="48" spans="1:18" x14ac:dyDescent="0.25">
      <c r="A48" s="29">
        <v>45</v>
      </c>
      <c r="B48" s="69" t="s">
        <v>62</v>
      </c>
      <c r="C48" s="20">
        <f>VLOOKUP(B48,[2]Трансп!A$2:CP$32,79,FALSE)/1000</f>
        <v>3.3849999999999998</v>
      </c>
      <c r="D48" s="20">
        <f>VLOOKUP(B48,[2]Трансп!A$2:CP$32,83,FALSE)/1000</f>
        <v>0.51600000000000001</v>
      </c>
      <c r="E48" s="20" t="s">
        <v>85</v>
      </c>
      <c r="F48" s="20">
        <f>VLOOKUP(B48,[2]Трансп!A$2:CP$32,77,FALSE)/1000</f>
        <v>3.2639999999999998</v>
      </c>
      <c r="G48" s="20">
        <f>VLOOKUP(B48,[2]Трансп!A$2:CP$32,81,FALSE)/1000</f>
        <v>0.42799999999999999</v>
      </c>
      <c r="H48" s="20" t="s">
        <v>85</v>
      </c>
      <c r="I48" s="30">
        <f t="shared" si="0"/>
        <v>3.7071078431372584</v>
      </c>
      <c r="J48" s="63">
        <v>7838492459</v>
      </c>
    </row>
  </sheetData>
  <sortState xmlns:xlrd2="http://schemas.microsoft.com/office/spreadsheetml/2017/richdata2" ref="B4:H51">
    <sortCondition descending="1" ref="C4:C51"/>
  </sortState>
  <mergeCells count="5">
    <mergeCell ref="A2:A3"/>
    <mergeCell ref="B2:B3"/>
    <mergeCell ref="C2:E2"/>
    <mergeCell ref="F2:H2"/>
    <mergeCell ref="I2:I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1CB08-A770-4814-815F-4DE166BA8ADE}">
  <dimension ref="A1:S47"/>
  <sheetViews>
    <sheetView topLeftCell="A13" workbookViewId="0">
      <selection activeCell="A2" sqref="A2:I47"/>
    </sheetView>
  </sheetViews>
  <sheetFormatPr defaultRowHeight="15" x14ac:dyDescent="0.25"/>
  <cols>
    <col min="2" max="2" width="95.7109375" customWidth="1"/>
    <col min="3" max="3" width="9.140625" style="11"/>
    <col min="4" max="4" width="9.140625" style="82"/>
    <col min="5" max="5" width="9.140625" style="52"/>
    <col min="6" max="6" width="9.140625" style="11"/>
    <col min="7" max="7" width="9.140625" style="82"/>
    <col min="8" max="8" width="9.140625" style="52"/>
    <col min="9" max="9" width="11.7109375" customWidth="1"/>
    <col min="10" max="10" width="15.7109375" style="63" customWidth="1"/>
    <col min="11" max="19" width="9.140625" style="37"/>
  </cols>
  <sheetData>
    <row r="1" spans="1:19" s="35" customFormat="1" x14ac:dyDescent="0.25">
      <c r="A1" s="46" t="s">
        <v>123</v>
      </c>
      <c r="D1" s="54"/>
      <c r="G1" s="54"/>
      <c r="J1" s="68"/>
      <c r="K1" s="87"/>
      <c r="L1" s="87"/>
      <c r="M1" s="87"/>
      <c r="N1" s="87"/>
      <c r="O1" s="87"/>
      <c r="P1" s="87"/>
      <c r="Q1" s="87"/>
      <c r="R1" s="87"/>
      <c r="S1" s="87"/>
    </row>
    <row r="2" spans="1:19" s="35" customFormat="1" ht="15" customHeight="1" x14ac:dyDescent="0.25">
      <c r="A2" s="98" t="s">
        <v>2</v>
      </c>
      <c r="B2" s="98" t="s">
        <v>0</v>
      </c>
      <c r="C2" s="107" t="s">
        <v>87</v>
      </c>
      <c r="D2" s="107"/>
      <c r="E2" s="107"/>
      <c r="F2" s="107" t="s">
        <v>77</v>
      </c>
      <c r="G2" s="107"/>
      <c r="H2" s="107"/>
      <c r="I2" s="107" t="s">
        <v>119</v>
      </c>
      <c r="J2" s="68"/>
      <c r="K2" s="87"/>
      <c r="L2" s="87"/>
      <c r="M2" s="87"/>
      <c r="N2" s="87"/>
      <c r="O2" s="87"/>
      <c r="P2" s="87"/>
      <c r="Q2" s="87"/>
      <c r="R2" s="87"/>
      <c r="S2" s="87"/>
    </row>
    <row r="3" spans="1:19" s="35" customFormat="1" ht="101.25" x14ac:dyDescent="0.25">
      <c r="A3" s="98"/>
      <c r="B3" s="98"/>
      <c r="C3" s="78" t="s">
        <v>120</v>
      </c>
      <c r="D3" s="81" t="s">
        <v>121</v>
      </c>
      <c r="E3" s="78" t="s">
        <v>122</v>
      </c>
      <c r="F3" s="78" t="s">
        <v>120</v>
      </c>
      <c r="G3" s="81" t="s">
        <v>121</v>
      </c>
      <c r="H3" s="78" t="s">
        <v>122</v>
      </c>
      <c r="I3" s="107"/>
      <c r="J3" s="68"/>
      <c r="K3" s="87"/>
      <c r="L3" s="87"/>
      <c r="M3" s="87"/>
      <c r="N3" s="87"/>
      <c r="O3" s="87"/>
      <c r="P3" s="87"/>
      <c r="Q3" s="87"/>
      <c r="R3" s="87"/>
      <c r="S3" s="87"/>
    </row>
    <row r="4" spans="1:19" x14ac:dyDescent="0.25">
      <c r="A4" s="29">
        <v>1</v>
      </c>
      <c r="B4" s="69" t="s">
        <v>17</v>
      </c>
      <c r="C4" s="20">
        <f>VLOOKUP(B4,[1]Трансп!A$3:U$39,10,FALSE)/1000</f>
        <v>2411.614</v>
      </c>
      <c r="D4" s="89">
        <f>(1-VLOOKUP(B4,[1]Трансп!A$3:U$39,14,FALSE)/VLOOKUP(B4,[1]Трансп!A$3:U$39,10,FALSE))*100</f>
        <v>0.48415708318163553</v>
      </c>
      <c r="E4" s="20">
        <f>VLOOKUP(B4,[1]Трансп!A$3:U$39,17,FALSE)/1000</f>
        <v>0</v>
      </c>
      <c r="F4" s="20">
        <f>VLOOKUP(B4,[1]Трансп!A$3:U$39,8,FALSE)/1000</f>
        <v>1835.306</v>
      </c>
      <c r="G4" s="89">
        <v>0.7</v>
      </c>
      <c r="H4" s="20">
        <f>VLOOKUP(B4,[1]Трансп!A$3:U$39,15,FALSE)/1000</f>
        <v>0</v>
      </c>
      <c r="I4" s="30">
        <f t="shared" ref="I4:I47" si="0">(C4/F4-1)*100</f>
        <v>31.401194133294386</v>
      </c>
      <c r="J4" s="63">
        <v>2310981029</v>
      </c>
    </row>
    <row r="5" spans="1:19" x14ac:dyDescent="0.25">
      <c r="A5" s="29">
        <v>2</v>
      </c>
      <c r="B5" s="69" t="s">
        <v>18</v>
      </c>
      <c r="C5" s="20">
        <f>VLOOKUP(B5,[1]Трансп!A$3:U$39,10,FALSE)/1000</f>
        <v>1810.3291999999999</v>
      </c>
      <c r="D5" s="89">
        <f>(1-VLOOKUP(B5,[1]Трансп!A$3:U$39,14,FALSE)/VLOOKUP(B5,[1]Трансп!A$3:U$39,10,FALSE))*100</f>
        <v>1.2294504226082137</v>
      </c>
      <c r="E5" s="20">
        <f>VLOOKUP(B5,[1]Трансп!A$3:U$39,17,FALSE)/1000</f>
        <v>0</v>
      </c>
      <c r="F5" s="20">
        <f>VLOOKUP(B5,[1]Трансп!A$3:U$39,8,FALSE)/1000</f>
        <v>1131.8176000000001</v>
      </c>
      <c r="G5" s="89">
        <f>(1-VLOOKUP(B5,[1]Трансп!A$3:U$39,12,FALSE)/VLOOKUP(B5,[1]Трансп!A$3:U$39,8,FALSE))*100</f>
        <v>1.9516483928152417</v>
      </c>
      <c r="H5" s="20">
        <f>VLOOKUP(B5,[1]Трансп!A$3:U$39,15,FALSE)/1000</f>
        <v>0</v>
      </c>
      <c r="I5" s="30">
        <f t="shared" si="0"/>
        <v>59.94884688133493</v>
      </c>
      <c r="J5" s="63">
        <v>9102023109</v>
      </c>
    </row>
    <row r="6" spans="1:19" x14ac:dyDescent="0.25">
      <c r="A6" s="29">
        <v>3</v>
      </c>
      <c r="B6" s="69" t="s">
        <v>30</v>
      </c>
      <c r="C6" s="20">
        <f>VLOOKUP(B6,[1]Трансп!A$3:U$39,10,FALSE)/1000</f>
        <v>1670.78</v>
      </c>
      <c r="D6" s="89">
        <f>(1-VLOOKUP(B6,[1]Трансп!A$3:U$39,14,FALSE)/VLOOKUP(B6,[1]Трансп!A$3:U$39,10,FALSE))*100</f>
        <v>2.1615652569458521</v>
      </c>
      <c r="E6" s="20">
        <f>VLOOKUP(B6,[1]Трансп!A$3:U$39,17,FALSE)/1000</f>
        <v>566.64995999999996</v>
      </c>
      <c r="F6" s="20">
        <f>VLOOKUP(B6,[1]Трансп!A$3:U$39,8,FALSE)/1000</f>
        <v>1535.46</v>
      </c>
      <c r="G6" s="89">
        <f>(1-VLOOKUP(B6,[1]Трансп!A$3:U$39,12,FALSE)/VLOOKUP(B6,[1]Трансп!A$3:U$39,8,FALSE))*100</f>
        <v>1.1570473994763741</v>
      </c>
      <c r="H6" s="20">
        <f>VLOOKUP(B6,[1]Трансп!A$3:U$39,15,FALSE)/1000</f>
        <v>254.95699999999999</v>
      </c>
      <c r="I6" s="30">
        <f t="shared" si="0"/>
        <v>8.8129941515897379</v>
      </c>
      <c r="J6" s="63">
        <v>6671118019</v>
      </c>
    </row>
    <row r="7" spans="1:19" x14ac:dyDescent="0.25">
      <c r="A7" s="29">
        <v>4</v>
      </c>
      <c r="B7" s="69" t="s">
        <v>34</v>
      </c>
      <c r="C7" s="20">
        <f>VLOOKUP(B7,[1]Трансп!A$3:U$39,10,FALSE)/1000</f>
        <v>1658.179891</v>
      </c>
      <c r="D7" s="89">
        <f>(1-VLOOKUP(B7,[1]Трансп!A$3:U$39,14,FALSE)/VLOOKUP(B7,[1]Трансп!A$3:U$39,10,FALSE))*100</f>
        <v>6.9098976306425364</v>
      </c>
      <c r="E7" s="20">
        <f>VLOOKUP(B7,[1]Трансп!A$3:U$39,17,FALSE)/1000</f>
        <v>493.51456100000001</v>
      </c>
      <c r="F7" s="20">
        <f>VLOOKUP(B7,[1]Трансп!A$3:U$39,8,FALSE)/1000</f>
        <v>1349.248</v>
      </c>
      <c r="G7" s="89">
        <f>(1-VLOOKUP(B7,[1]Трансп!A$3:U$39,12,FALSE)/VLOOKUP(B7,[1]Трансп!A$3:U$39,8,FALSE))*100</f>
        <v>63.076988070391806</v>
      </c>
      <c r="H7" s="20">
        <f>VLOOKUP(B7,[1]Трансп!A$3:U$39,15,FALSE)/1000</f>
        <v>268.82100000000003</v>
      </c>
      <c r="I7" s="30">
        <f t="shared" si="0"/>
        <v>22.896598030903135</v>
      </c>
      <c r="J7" s="63">
        <v>1655259599</v>
      </c>
    </row>
    <row r="8" spans="1:19" x14ac:dyDescent="0.25">
      <c r="A8" s="29">
        <v>5</v>
      </c>
      <c r="B8" s="69" t="s">
        <v>27</v>
      </c>
      <c r="C8" s="20">
        <f>VLOOKUP(B8,[1]Трансп!A$3:U$39,10,FALSE)/1000</f>
        <v>1618.5570700000001</v>
      </c>
      <c r="D8" s="89">
        <f>(1-VLOOKUP(B8,[1]Трансп!A$3:U$39,14,FALSE)/VLOOKUP(B8,[1]Трансп!A$3:U$39,10,FALSE))*100</f>
        <v>2.9256305432591279</v>
      </c>
      <c r="E8" s="20">
        <f>VLOOKUP(B8,[1]Трансп!A$3:U$39,17,FALSE)/1000</f>
        <v>0</v>
      </c>
      <c r="F8" s="20">
        <f>VLOOKUP(B8,[1]Трансп!A$3:U$39,8,FALSE)/1000</f>
        <v>1409.9659199999999</v>
      </c>
      <c r="G8" s="89">
        <f>(1-VLOOKUP(B8,[1]Трансп!A$3:U$39,12,FALSE)/VLOOKUP(B8,[1]Трансп!A$3:U$39,8,FALSE))*100</f>
        <v>3.9915425757240941</v>
      </c>
      <c r="H8" s="20">
        <f>VLOOKUP(B8,[1]Трансп!A$3:U$39,15,FALSE)/1000</f>
        <v>0</v>
      </c>
      <c r="I8" s="30">
        <f t="shared" si="0"/>
        <v>14.794056157045276</v>
      </c>
      <c r="J8" s="63">
        <v>6164072742</v>
      </c>
    </row>
    <row r="9" spans="1:19" x14ac:dyDescent="0.25">
      <c r="A9" s="29">
        <v>6</v>
      </c>
      <c r="B9" s="69" t="s">
        <v>35</v>
      </c>
      <c r="C9" s="20">
        <f>VLOOKUP(B9,[1]Трансп!A$3:U$39,10,FALSE)/1000</f>
        <v>1547.7912426</v>
      </c>
      <c r="D9" s="89">
        <f>(1-VLOOKUP(B9,[1]Трансп!A$3:U$39,14,FALSE)/VLOOKUP(B9,[1]Трансп!A$3:U$39,10,FALSE))*100</f>
        <v>1.0209425635110514</v>
      </c>
      <c r="E9" s="20">
        <f>VLOOKUP(B9,[1]Трансп!A$3:U$39,17,FALSE)/1000</f>
        <v>405.84460740999998</v>
      </c>
      <c r="F9" s="20">
        <f>VLOOKUP(B9,[1]Трансп!A$3:U$39,8,FALSE)/1000</f>
        <v>1335.1154960000001</v>
      </c>
      <c r="G9" s="89">
        <f>(1-VLOOKUP(B9,[1]Трансп!A$3:U$39,12,FALSE)/VLOOKUP(B9,[1]Трансп!A$3:U$39,8,FALSE))*100</f>
        <v>1.4486951172350104</v>
      </c>
      <c r="H9" s="20">
        <f>VLOOKUP(B9,[1]Трансп!A$3:U$39,15,FALSE)/1000</f>
        <v>100.09334</v>
      </c>
      <c r="I9" s="30">
        <f t="shared" si="0"/>
        <v>15.92938942265112</v>
      </c>
      <c r="J9" s="63">
        <v>1831045838</v>
      </c>
    </row>
    <row r="10" spans="1:19" x14ac:dyDescent="0.25">
      <c r="A10" s="29">
        <v>7</v>
      </c>
      <c r="B10" s="69" t="s">
        <v>38</v>
      </c>
      <c r="C10" s="20">
        <f>VLOOKUP(B10,[1]Трансп!A$3:U$39,10,FALSE)/1000</f>
        <v>1348.258</v>
      </c>
      <c r="D10" s="89">
        <f>(1-VLOOKUP(B10,[1]Трансп!A$3:U$39,14,FALSE)/VLOOKUP(B10,[1]Трансп!A$3:U$39,10,FALSE))*100</f>
        <v>1.5270816119763442</v>
      </c>
      <c r="E10" s="20">
        <f>VLOOKUP(B10,[1]Трансп!A$3:U$39,17,FALSE)/1000</f>
        <v>1.4999999999999999E-2</v>
      </c>
      <c r="F10" s="20">
        <f>VLOOKUP(B10,[1]Трансп!A$3:U$39,8,FALSE)/1000</f>
        <v>715.05</v>
      </c>
      <c r="G10" s="89">
        <f>(1-VLOOKUP(B10,[1]Трансп!A$3:U$39,12,FALSE)/VLOOKUP(B10,[1]Трансп!A$3:U$39,8,FALSE))*100</f>
        <v>1.6849171386616346</v>
      </c>
      <c r="H10" s="20">
        <f>VLOOKUP(B10,[1]Трансп!A$3:U$39,15,FALSE)/1000</f>
        <v>3.0339999999999998</v>
      </c>
      <c r="I10" s="30">
        <f t="shared" si="0"/>
        <v>88.554366827494604</v>
      </c>
      <c r="J10" s="63">
        <v>2130058291</v>
      </c>
    </row>
    <row r="11" spans="1:19" x14ac:dyDescent="0.25">
      <c r="A11" s="29">
        <v>8</v>
      </c>
      <c r="B11" s="69" t="s">
        <v>29</v>
      </c>
      <c r="C11" s="20">
        <f>VLOOKUP(B11,[1]Трансп!A$3:U$39,10,FALSE)/1000</f>
        <v>1163.8620000000001</v>
      </c>
      <c r="D11" s="89">
        <f>(1-VLOOKUP(B11,[1]Трансп!A$3:U$39,14,FALSE)/VLOOKUP(B11,[1]Трансп!A$3:U$39,10,FALSE))*100</f>
        <v>75.598825290283557</v>
      </c>
      <c r="E11" s="20">
        <f>VLOOKUP(B11,[1]Трансп!A$3:U$39,17,FALSE)/1000</f>
        <v>147.46600000000001</v>
      </c>
      <c r="F11" s="20">
        <f>VLOOKUP(B11,[1]Трансп!A$3:U$39,8,FALSE)/1000</f>
        <v>1071.328</v>
      </c>
      <c r="G11" s="89">
        <f>(1-VLOOKUP(B11,[1]Трансп!A$3:U$39,12,FALSE)/VLOOKUP(B11,[1]Трансп!A$3:U$39,8,FALSE))*100</f>
        <v>48.38490172944234</v>
      </c>
      <c r="H11" s="20">
        <f>VLOOKUP(B11,[1]Трансп!A$3:U$39,15,FALSE)/1000</f>
        <v>188.90600000000001</v>
      </c>
      <c r="I11" s="30">
        <f t="shared" si="0"/>
        <v>8.637317422862111</v>
      </c>
      <c r="J11" s="63">
        <v>1435296482</v>
      </c>
    </row>
    <row r="12" spans="1:19" x14ac:dyDescent="0.25">
      <c r="A12" s="29">
        <v>9</v>
      </c>
      <c r="B12" s="69" t="s">
        <v>39</v>
      </c>
      <c r="C12" s="20">
        <f>VLOOKUP(B12,[1]Трансп!A$3:U$39,10,FALSE)/1000</f>
        <v>1116.3810000000001</v>
      </c>
      <c r="D12" s="89">
        <f>(1-VLOOKUP(B12,[1]Трансп!A$3:U$39,14,FALSE)/VLOOKUP(B12,[1]Трансп!A$3:U$39,10,FALSE))*100</f>
        <v>2.103582916584934</v>
      </c>
      <c r="E12" s="20">
        <f>VLOOKUP(B12,[1]Трансп!A$3:U$39,17,FALSE)/1000</f>
        <v>0</v>
      </c>
      <c r="F12" s="20">
        <f>VLOOKUP(B12,[1]Трансп!A$3:U$39,8,FALSE)/1000</f>
        <v>999.30200000000002</v>
      </c>
      <c r="G12" s="89">
        <v>1.5</v>
      </c>
      <c r="H12" s="20">
        <f>VLOOKUP(B12,[1]Трансп!A$3:U$39,15,FALSE)/1000</f>
        <v>0</v>
      </c>
      <c r="I12" s="30">
        <f t="shared" si="0"/>
        <v>11.716077822319981</v>
      </c>
      <c r="J12" s="63">
        <v>8601042850</v>
      </c>
    </row>
    <row r="13" spans="1:19" x14ac:dyDescent="0.25">
      <c r="A13" s="29">
        <v>10</v>
      </c>
      <c r="B13" s="69" t="s">
        <v>32</v>
      </c>
      <c r="C13" s="20">
        <f>VLOOKUP(B13,[1]Трансп!A$3:U$39,10,FALSE)/1000</f>
        <v>1113.373</v>
      </c>
      <c r="D13" s="89">
        <f>(1-VLOOKUP(B13,[1]Трансп!A$3:U$39,14,FALSE)/VLOOKUP(B13,[1]Трансп!A$3:U$39,10,FALSE))*100</f>
        <v>2.0137034039805157</v>
      </c>
      <c r="E13" s="20">
        <f>VLOOKUP(B13,[1]Трансп!A$3:U$39,17,FALSE)/1000</f>
        <v>0</v>
      </c>
      <c r="F13" s="20">
        <f>VLOOKUP(B13,[1]Трансп!A$3:U$39,8,FALSE)/1000</f>
        <v>860.92899999999997</v>
      </c>
      <c r="G13" s="89">
        <f>(1-VLOOKUP(B13,[1]Трансп!A$3:U$39,12,FALSE)/VLOOKUP(B13,[1]Трансп!A$3:U$39,8,FALSE))*100</f>
        <v>1.5230059621641256</v>
      </c>
      <c r="H13" s="20">
        <f>VLOOKUP(B13,[1]Трансп!A$3:U$39,15,FALSE)/1000</f>
        <v>0</v>
      </c>
      <c r="I13" s="30">
        <f t="shared" si="0"/>
        <v>29.322278608340536</v>
      </c>
      <c r="J13" s="63">
        <v>2634091033</v>
      </c>
    </row>
    <row r="14" spans="1:19" x14ac:dyDescent="0.25">
      <c r="A14" s="29">
        <v>11</v>
      </c>
      <c r="B14" s="69" t="s">
        <v>24</v>
      </c>
      <c r="C14" s="20">
        <f>VLOOKUP(B14,[1]Трансп!A$3:U$39,10,FALSE)/1000</f>
        <v>1066.117</v>
      </c>
      <c r="D14" s="89">
        <f>(1-VLOOKUP(B14,[1]Трансп!A$3:U$39,14,FALSE)/VLOOKUP(B14,[1]Трансп!A$3:U$39,10,FALSE))*100</f>
        <v>0.88920822011092637</v>
      </c>
      <c r="E14" s="20">
        <f>VLOOKUP(B14,[1]Трансп!A$3:U$39,17,FALSE)/1000</f>
        <v>0</v>
      </c>
      <c r="F14" s="20">
        <f>VLOOKUP(B14,[1]Трансп!A$3:U$39,8,FALSE)/1000</f>
        <v>917.05399999999997</v>
      </c>
      <c r="G14" s="89">
        <f>(1-VLOOKUP(B14,[1]Трансп!A$3:U$39,12,FALSE)/VLOOKUP(B14,[1]Трансп!A$3:U$39,8,FALSE))*100</f>
        <v>0.59909231081266556</v>
      </c>
      <c r="H14" s="20">
        <f>VLOOKUP(B14,[1]Трансп!A$3:U$39,15,FALSE)/1000</f>
        <v>0</v>
      </c>
      <c r="I14" s="30">
        <f t="shared" si="0"/>
        <v>16.2545498956441</v>
      </c>
      <c r="J14" s="63">
        <v>5406570716</v>
      </c>
    </row>
    <row r="15" spans="1:19" x14ac:dyDescent="0.25">
      <c r="A15" s="29">
        <v>12</v>
      </c>
      <c r="B15" s="69" t="s">
        <v>16</v>
      </c>
      <c r="C15" s="20">
        <f>VLOOKUP(B15,[1]Трансп!A$3:U$39,10,FALSE)/1000</f>
        <v>935.89800000000002</v>
      </c>
      <c r="D15" s="89">
        <f>(1-VLOOKUP(B15,[1]Трансп!A$3:U$39,14,FALSE)/VLOOKUP(B15,[1]Трансп!A$3:U$39,10,FALSE))*100</f>
        <v>0.76279680050603815</v>
      </c>
      <c r="E15" s="20">
        <f>VLOOKUP(B15,[1]Трансп!A$3:U$39,17,FALSE)/1000</f>
        <v>25.702000000000002</v>
      </c>
      <c r="F15" s="20">
        <f>VLOOKUP(B15,[1]Трансп!A$3:U$39,8,FALSE)/1000</f>
        <v>776.11500000000001</v>
      </c>
      <c r="G15" s="89">
        <f>(1-VLOOKUP(B15,[1]Трансп!A$3:U$39,12,FALSE)/VLOOKUP(B15,[1]Трансп!A$3:U$39,8,FALSE))*100</f>
        <v>1.4676948648074006</v>
      </c>
      <c r="H15" s="20">
        <f>VLOOKUP(B15,[1]Трансп!A$3:U$39,15,FALSE)/1000</f>
        <v>27.718</v>
      </c>
      <c r="I15" s="30">
        <f t="shared" si="0"/>
        <v>20.587541794708251</v>
      </c>
      <c r="J15" s="63">
        <v>4345045088</v>
      </c>
    </row>
    <row r="16" spans="1:19" x14ac:dyDescent="0.25">
      <c r="A16" s="29">
        <v>13</v>
      </c>
      <c r="B16" s="69" t="s">
        <v>23</v>
      </c>
      <c r="C16" s="20">
        <f>VLOOKUP(B16,[1]Трансп!A$3:U$39,10,FALSE)/1000</f>
        <v>882.46199999999999</v>
      </c>
      <c r="D16" s="89">
        <f>(1-VLOOKUP(B16,[1]Трансп!A$3:U$39,14,FALSE)/VLOOKUP(B16,[1]Трансп!A$3:U$39,10,FALSE))*100</f>
        <v>1.8753215435905468</v>
      </c>
      <c r="E16" s="20">
        <f>VLOOKUP(B16,[1]Трансп!A$3:U$39,17,FALSE)/1000</f>
        <v>33.752000000000002</v>
      </c>
      <c r="F16" s="20">
        <f>VLOOKUP(B16,[1]Трансп!A$3:U$39,8,FALSE)/1000</f>
        <v>735.81399999999996</v>
      </c>
      <c r="G16" s="89">
        <v>1.6</v>
      </c>
      <c r="H16" s="20">
        <f>VLOOKUP(B16,[1]Трансп!A$3:U$39,15,FALSE)/1000</f>
        <v>0.86399999999999999</v>
      </c>
      <c r="I16" s="30">
        <f t="shared" si="0"/>
        <v>19.930036666875051</v>
      </c>
      <c r="J16" s="63">
        <v>5321059541</v>
      </c>
    </row>
    <row r="17" spans="1:19" s="37" customFormat="1" x14ac:dyDescent="0.25">
      <c r="A17" s="29">
        <v>14</v>
      </c>
      <c r="B17" s="69" t="s">
        <v>5</v>
      </c>
      <c r="C17" s="20">
        <f>VLOOKUP(B17,[1]Трансп!A$3:U$39,10,FALSE)/1000</f>
        <v>814.94677000000001</v>
      </c>
      <c r="D17" s="89">
        <f>(1-VLOOKUP(B17,[1]Трансп!A$3:U$39,14,FALSE)/VLOOKUP(B17,[1]Трансп!A$3:U$39,10,FALSE))*100</f>
        <v>0.48053592506415166</v>
      </c>
      <c r="E17" s="20">
        <f>VLOOKUP(B17,[1]Трансп!A$3:U$39,17,FALSE)/1000</f>
        <v>198.296055</v>
      </c>
      <c r="F17" s="20">
        <v>650</v>
      </c>
      <c r="G17" s="89">
        <v>0.5</v>
      </c>
      <c r="H17" s="20">
        <f>VLOOKUP(B17,[1]Трансп!A$3:U$39,15,FALSE)/1000</f>
        <v>0</v>
      </c>
      <c r="I17" s="30">
        <f t="shared" si="0"/>
        <v>25.376426153846165</v>
      </c>
      <c r="J17" s="63">
        <v>2221171632</v>
      </c>
    </row>
    <row r="18" spans="1:19" x14ac:dyDescent="0.25">
      <c r="A18" s="29">
        <v>15</v>
      </c>
      <c r="B18" s="69" t="s">
        <v>22</v>
      </c>
      <c r="C18" s="20">
        <f>VLOOKUP(B18,[1]Трансп!A$3:U$39,10,FALSE)/1000</f>
        <v>795.95969600000001</v>
      </c>
      <c r="D18" s="89">
        <f>(1-VLOOKUP(B18,[1]Трансп!A$3:U$39,14,FALSE)/VLOOKUP(B18,[1]Трансп!A$3:U$39,10,FALSE))*100</f>
        <v>6.6638735939212657</v>
      </c>
      <c r="E18" s="20">
        <f>VLOOKUP(B18,[1]Трансп!A$3:U$39,17,FALSE)/1000</f>
        <v>0</v>
      </c>
      <c r="F18" s="20">
        <f>VLOOKUP(B18,[1]Трансп!A$3:U$39,8,FALSE)/1000</f>
        <v>584.85199999999998</v>
      </c>
      <c r="G18" s="89">
        <f>(1-VLOOKUP(B18,[1]Трансп!A$3:U$39,12,FALSE)/VLOOKUP(B18,[1]Трансп!A$3:U$39,8,FALSE))*100</f>
        <v>11.350392919918207</v>
      </c>
      <c r="H18" s="20">
        <f>VLOOKUP(B18,[1]Трансп!A$3:U$39,15,FALSE)/1000</f>
        <v>0</v>
      </c>
      <c r="I18" s="30">
        <f t="shared" si="0"/>
        <v>36.095917599666237</v>
      </c>
      <c r="J18" s="63" t="s">
        <v>152</v>
      </c>
    </row>
    <row r="19" spans="1:19" x14ac:dyDescent="0.25">
      <c r="A19" s="29">
        <v>16</v>
      </c>
      <c r="B19" s="69" t="s">
        <v>10</v>
      </c>
      <c r="C19" s="20">
        <f>VLOOKUP(B19,[1]Трансп!A$3:U$39,10,FALSE)/1000</f>
        <v>768.19500000000005</v>
      </c>
      <c r="D19" s="89">
        <f>(1-VLOOKUP(B19,[1]Трансп!A$3:U$39,14,FALSE)/VLOOKUP(B19,[1]Трансп!A$3:U$39,10,FALSE))*100</f>
        <v>0.49818080044780055</v>
      </c>
      <c r="E19" s="20">
        <f>VLOOKUP(B19,[1]Трансп!A$3:U$39,17,FALSE)/1000</f>
        <v>62.645000000000003</v>
      </c>
      <c r="F19" s="20">
        <f>VLOOKUP(B19,[1]Трансп!A$3:U$39,8,FALSE)/1000</f>
        <v>577.99599999999998</v>
      </c>
      <c r="G19" s="89">
        <f>(1-VLOOKUP(B19,[1]Трансп!A$3:U$39,12,FALSE)/VLOOKUP(B19,[1]Трансп!A$3:U$39,8,FALSE))*100</f>
        <v>4.1529699167468292</v>
      </c>
      <c r="H19" s="20">
        <f>VLOOKUP(B19,[1]Трансп!A$3:U$39,15,FALSE)/1000</f>
        <v>86.272999999999996</v>
      </c>
      <c r="I19" s="30">
        <f t="shared" si="0"/>
        <v>32.90662911162017</v>
      </c>
      <c r="J19" s="63">
        <v>3525251257</v>
      </c>
    </row>
    <row r="20" spans="1:19" x14ac:dyDescent="0.25">
      <c r="A20" s="29">
        <v>17</v>
      </c>
      <c r="B20" s="69" t="s">
        <v>13</v>
      </c>
      <c r="C20" s="20">
        <f>VLOOKUP(B20,[1]Трансп!A$3:U$39,10,FALSE)/1000</f>
        <v>732.27300000000002</v>
      </c>
      <c r="D20" s="89">
        <f>(1-VLOOKUP(B20,[1]Трансп!A$3:U$39,14,FALSE)/VLOOKUP(B20,[1]Трансп!A$3:U$39,10,FALSE))*100</f>
        <v>1.2603223114876605</v>
      </c>
      <c r="E20" s="20">
        <f>VLOOKUP(B20,[1]Трансп!A$3:U$39,17,FALSE)/1000</f>
        <v>0</v>
      </c>
      <c r="F20" s="20">
        <f>VLOOKUP(B20,[1]Трансп!A$3:U$39,8,FALSE)/1000</f>
        <v>528.21</v>
      </c>
      <c r="G20" s="89">
        <f>(1-VLOOKUP(B20,[1]Трансп!A$3:U$39,12,FALSE)/VLOOKUP(B20,[1]Трансп!A$3:U$39,8,FALSE))*100</f>
        <v>1.0069858578974245</v>
      </c>
      <c r="H20" s="20">
        <f>VLOOKUP(B20,[1]Трансп!A$3:U$39,15,FALSE)/1000</f>
        <v>0</v>
      </c>
      <c r="I20" s="30">
        <f t="shared" si="0"/>
        <v>38.632930084625428</v>
      </c>
      <c r="J20" s="63">
        <v>3801990027</v>
      </c>
    </row>
    <row r="21" spans="1:19" x14ac:dyDescent="0.25">
      <c r="A21" s="29">
        <v>18</v>
      </c>
      <c r="B21" s="76" t="s">
        <v>7</v>
      </c>
      <c r="C21" s="33">
        <f>VLOOKUP(B21,[1]Трансп!A$3:U$39,10,FALSE)/1000</f>
        <v>719.99569799999995</v>
      </c>
      <c r="D21" s="90">
        <f>(1-VLOOKUP(B21,[1]Трансп!A$3:U$39,14,FALSE)/VLOOKUP(B21,[1]Трансп!A$3:U$39,10,FALSE))*100</f>
        <v>8.1355622210953822</v>
      </c>
      <c r="E21" s="33">
        <f>VLOOKUP(B21,[1]Трансп!A$3:U$39,17,FALSE)/1000</f>
        <v>73</v>
      </c>
      <c r="F21" s="33">
        <f>VLOOKUP(B21,[1]Трансп!A$3:U$39,8,FALSE)/1000</f>
        <v>530.81035600000007</v>
      </c>
      <c r="G21" s="90">
        <f>(1-VLOOKUP(B21,[1]Трансп!A$3:U$39,12,FALSE)/VLOOKUP(B21,[1]Трансп!A$3:U$39,8,FALSE))*100</f>
        <v>13.149396052853202</v>
      </c>
      <c r="H21" s="33">
        <f>VLOOKUP(B21,[1]Трансп!A$3:U$39,15,FALSE)/1000</f>
        <v>24.5</v>
      </c>
      <c r="I21" s="75">
        <f t="shared" si="0"/>
        <v>35.640853623436051</v>
      </c>
      <c r="J21" s="67">
        <v>2901204067</v>
      </c>
    </row>
    <row r="22" spans="1:19" x14ac:dyDescent="0.25">
      <c r="A22" s="29">
        <v>19</v>
      </c>
      <c r="B22" s="69" t="s">
        <v>21</v>
      </c>
      <c r="C22" s="20">
        <f>VLOOKUP(B22,[1]Трансп!A$3:U$39,10,FALSE)/1000</f>
        <v>687.73340000000007</v>
      </c>
      <c r="D22" s="89">
        <f>(1-VLOOKUP(B22,[1]Трансп!A$3:U$39,14,FALSE)/VLOOKUP(B22,[1]Трансп!A$3:U$39,10,FALSE))*100</f>
        <v>6.501356484940235</v>
      </c>
      <c r="E22" s="20">
        <f>VLOOKUP(B22,[1]Трансп!A$3:U$39,17,FALSE)/1000</f>
        <v>15.5326</v>
      </c>
      <c r="F22" s="20">
        <f>VLOOKUP(B22,[1]Трансп!A$3:U$39,8,FALSE)/1000</f>
        <v>479.03809999999999</v>
      </c>
      <c r="G22" s="89">
        <f>(1-VLOOKUP(B22,[1]Трансп!A$3:U$39,12,FALSE)/VLOOKUP(B22,[1]Трансп!A$3:U$39,8,FALSE))*100</f>
        <v>1.4493627959863753</v>
      </c>
      <c r="H22" s="20">
        <f>VLOOKUP(B22,[1]Трансп!A$3:U$39,15,FALSE)/1000</f>
        <v>16.475999999999999</v>
      </c>
      <c r="I22" s="30">
        <f t="shared" si="0"/>
        <v>43.565490928592119</v>
      </c>
      <c r="J22" s="63">
        <v>4824047100</v>
      </c>
    </row>
    <row r="23" spans="1:19" x14ac:dyDescent="0.25">
      <c r="A23" s="29">
        <v>20</v>
      </c>
      <c r="B23" s="69" t="s">
        <v>14</v>
      </c>
      <c r="C23" s="20">
        <f>VLOOKUP(B23,[1]Трансп!A$3:U$39,10,FALSE)/1000</f>
        <v>672.87400000000002</v>
      </c>
      <c r="D23" s="89">
        <f>(1-VLOOKUP(B23,[1]Трансп!A$3:U$39,14,FALSE)/VLOOKUP(B23,[1]Трансп!A$3:U$39,10,FALSE))*100</f>
        <v>2.4203639908809027</v>
      </c>
      <c r="E23" s="20">
        <f>VLOOKUP(B23,[1]Трансп!A$3:U$39,17,FALSE)/1000</f>
        <v>1.6519999999999999</v>
      </c>
      <c r="F23" s="20">
        <f>VLOOKUP(B23,[1]Трансп!A$3:U$39,8,FALSE)/1000</f>
        <v>561.88199999999995</v>
      </c>
      <c r="G23" s="89">
        <f>(1-VLOOKUP(B23,[1]Трансп!A$3:U$39,12,FALSE)/VLOOKUP(B23,[1]Трансп!A$3:U$39,8,FALSE))*100</f>
        <v>4.4365186996558004</v>
      </c>
      <c r="H23" s="20">
        <f>VLOOKUP(B23,[1]Трансп!A$3:U$39,15,FALSE)/1000</f>
        <v>4.5170000000000003</v>
      </c>
      <c r="I23" s="30">
        <f t="shared" si="0"/>
        <v>19.753613748082355</v>
      </c>
      <c r="J23" s="63">
        <v>4101091354</v>
      </c>
    </row>
    <row r="24" spans="1:19" x14ac:dyDescent="0.25">
      <c r="A24" s="29">
        <v>21</v>
      </c>
      <c r="B24" s="69" t="s">
        <v>9</v>
      </c>
      <c r="C24" s="20">
        <f>VLOOKUP(B24,[1]Трансп!A$3:U$39,10,FALSE)/1000</f>
        <v>664.553</v>
      </c>
      <c r="D24" s="89">
        <f>(1-VLOOKUP(B24,[1]Трансп!A$3:U$39,14,FALSE)/VLOOKUP(B24,[1]Трансп!A$3:U$39,10,FALSE))*100</f>
        <v>1.296661063903104</v>
      </c>
      <c r="E24" s="20">
        <f>VLOOKUP(B24,[1]Трансп!A$3:U$39,17,FALSE)/1000</f>
        <v>0</v>
      </c>
      <c r="F24" s="20">
        <f>VLOOKUP(B24,[1]Трансп!A$3:U$39,8,FALSE)/1000</f>
        <v>507.27100000000002</v>
      </c>
      <c r="G24" s="89">
        <f>(1-VLOOKUP(B24,[1]Трансп!A$3:U$39,12,FALSE)/VLOOKUP(B24,[1]Трансп!A$3:U$39,8,FALSE))*100</f>
        <v>1.7101312710563032</v>
      </c>
      <c r="H24" s="20">
        <f>VLOOKUP(B24,[1]Трансп!A$3:U$39,15,FALSE)/1000</f>
        <v>0</v>
      </c>
      <c r="I24" s="30">
        <f t="shared" si="0"/>
        <v>31.005517760723556</v>
      </c>
      <c r="J24" s="63">
        <v>275066729</v>
      </c>
    </row>
    <row r="25" spans="1:19" x14ac:dyDescent="0.25">
      <c r="A25" s="29">
        <v>22</v>
      </c>
      <c r="B25" s="69" t="s">
        <v>15</v>
      </c>
      <c r="C25" s="20">
        <f>VLOOKUP(B25,[1]Трансп!A$3:U$39,10,FALSE)/1000</f>
        <v>648.96951000000001</v>
      </c>
      <c r="D25" s="89">
        <f>(1-VLOOKUP(B25,[1]Трансп!A$3:U$39,14,FALSE)/VLOOKUP(B25,[1]Трансп!A$3:U$39,10,FALSE))*100</f>
        <v>2.8128424708273259</v>
      </c>
      <c r="E25" s="20">
        <f>VLOOKUP(B25,[1]Трансп!A$3:U$39,17,FALSE)/1000</f>
        <v>1E-3</v>
      </c>
      <c r="F25" s="20">
        <f>VLOOKUP(B25,[1]Трансп!A$3:U$39,8,FALSE)/1000</f>
        <v>555.03</v>
      </c>
      <c r="G25" s="89">
        <f>(1-VLOOKUP(B25,[1]Трансп!A$3:U$39,12,FALSE)/VLOOKUP(B25,[1]Трансп!A$3:U$39,8,FALSE))*100</f>
        <v>3.229555159180586</v>
      </c>
      <c r="H25" s="20">
        <f>VLOOKUP(B25,[1]Трансп!A$3:U$39,15,FALSE)/1000</f>
        <v>27.8</v>
      </c>
      <c r="I25" s="30">
        <f t="shared" si="0"/>
        <v>16.925122966326157</v>
      </c>
      <c r="J25" s="63">
        <v>4207043015</v>
      </c>
    </row>
    <row r="26" spans="1:19" x14ac:dyDescent="0.25">
      <c r="A26" s="29">
        <v>23</v>
      </c>
      <c r="B26" s="69" t="s">
        <v>37</v>
      </c>
      <c r="C26" s="20">
        <f>VLOOKUP(B26,[1]Трансп!A$3:U$39,10,FALSE)/1000</f>
        <v>647.226</v>
      </c>
      <c r="D26" s="89">
        <f>(1-VLOOKUP(B26,[1]Трансп!A$3:U$39,14,FALSE)/VLOOKUP(B26,[1]Трансп!A$3:U$39,10,FALSE))*100</f>
        <v>1.9704090997580415</v>
      </c>
      <c r="E26" s="20">
        <f>VLOOKUP(B26,[1]Трансп!A$3:U$39,17,FALSE)/1000</f>
        <v>0</v>
      </c>
      <c r="F26" s="20">
        <f>VLOOKUP(B26,[1]Трансп!A$3:U$39,8,FALSE)/1000</f>
        <v>460.97500000000002</v>
      </c>
      <c r="G26" s="89">
        <f>(1-VLOOKUP(B26,[1]Трансп!A$3:U$39,12,FALSE)/VLOOKUP(B26,[1]Трансп!A$3:U$39,8,FALSE))*100</f>
        <v>1.9358967406041594</v>
      </c>
      <c r="H26" s="20">
        <f>VLOOKUP(B26,[1]Трансп!A$3:U$39,15,FALSE)/1000</f>
        <v>1.0569999999999999</v>
      </c>
      <c r="I26" s="30">
        <f t="shared" si="0"/>
        <v>40.403709528716305</v>
      </c>
      <c r="J26" s="63">
        <v>2721052016</v>
      </c>
    </row>
    <row r="27" spans="1:19" s="10" customFormat="1" x14ac:dyDescent="0.25">
      <c r="A27" s="29">
        <v>24</v>
      </c>
      <c r="B27" s="69" t="s">
        <v>25</v>
      </c>
      <c r="C27" s="20">
        <f>VLOOKUP(B27,[1]Трансп!A$3:U$39,10,FALSE)/1000</f>
        <v>600.83600000000001</v>
      </c>
      <c r="D27" s="89">
        <f>(1-VLOOKUP(B27,[1]Трансп!A$3:U$39,14,FALSE)/VLOOKUP(B27,[1]Трансп!A$3:U$39,10,FALSE))*100</f>
        <v>2.9458953857619541E-2</v>
      </c>
      <c r="E27" s="20">
        <f>VLOOKUP(B27,[1]Трансп!A$3:U$39,17,FALSE)/1000</f>
        <v>0</v>
      </c>
      <c r="F27" s="20">
        <f>VLOOKUP(B27,[1]Трансп!A$3:U$39,8,FALSE)/1000</f>
        <v>513.50599999999997</v>
      </c>
      <c r="G27" s="89">
        <f>(1-VLOOKUP(B27,[1]Трансп!A$3:U$39,12,FALSE)/VLOOKUP(B27,[1]Трансп!A$3:U$39,8,FALSE))*100</f>
        <v>0.45452243985464325</v>
      </c>
      <c r="H27" s="20">
        <f>VLOOKUP(B27,[1]Трансп!A$3:U$39,15,FALSE)/1000</f>
        <v>0</v>
      </c>
      <c r="I27" s="30">
        <f t="shared" si="0"/>
        <v>17.006617254715639</v>
      </c>
      <c r="J27" s="63">
        <v>5753990187</v>
      </c>
      <c r="K27" s="37"/>
      <c r="L27" s="37"/>
      <c r="M27" s="37"/>
      <c r="N27" s="37"/>
      <c r="O27" s="37"/>
      <c r="P27" s="37"/>
      <c r="Q27" s="37"/>
      <c r="R27" s="37"/>
      <c r="S27" s="37"/>
    </row>
    <row r="28" spans="1:19" x14ac:dyDescent="0.25">
      <c r="A28" s="29">
        <v>25</v>
      </c>
      <c r="B28" s="69" t="s">
        <v>26</v>
      </c>
      <c r="C28" s="20">
        <f>VLOOKUP(B28,[1]Трансп!A$3:U$39,10,FALSE)/1000</f>
        <v>598.77</v>
      </c>
      <c r="D28" s="89">
        <f>(1-VLOOKUP(B28,[1]Трансп!A$3:U$39,14,FALSE)/VLOOKUP(B28,[1]Трансп!A$3:U$39,10,FALSE))*100</f>
        <v>0.17569350501862591</v>
      </c>
      <c r="E28" s="20">
        <f>VLOOKUP(B28,[1]Трансп!A$3:U$39,17,FALSE)/1000</f>
        <v>0</v>
      </c>
      <c r="F28" s="20">
        <f>VLOOKUP(B28,[1]Трансп!A$3:U$39,8,FALSE)/1000</f>
        <v>410.66699999999997</v>
      </c>
      <c r="G28" s="89">
        <f>(1-VLOOKUP(B28,[1]Трансп!A$3:U$39,12,FALSE)/VLOOKUP(B28,[1]Трансп!A$3:U$39,8,FALSE))*100</f>
        <v>0.33092505606732159</v>
      </c>
      <c r="H28" s="20">
        <f>VLOOKUP(B28,[1]Трансп!A$3:U$39,15,FALSE)/1000</f>
        <v>0</v>
      </c>
      <c r="I28" s="30">
        <f t="shared" si="0"/>
        <v>45.804264769265622</v>
      </c>
      <c r="J28" s="63">
        <v>5835073174</v>
      </c>
    </row>
    <row r="29" spans="1:19" x14ac:dyDescent="0.25">
      <c r="A29" s="29">
        <v>26</v>
      </c>
      <c r="B29" s="69" t="s">
        <v>41</v>
      </c>
      <c r="C29" s="20">
        <f>VLOOKUP(B29,[1]Трансп!A$3:U$39,10,FALSE)/1000</f>
        <v>527.96112000000005</v>
      </c>
      <c r="D29" s="89">
        <f>(1-VLOOKUP(B29,[1]Трансп!A$3:U$39,14,FALSE)/VLOOKUP(B29,[1]Трансп!A$3:U$39,10,FALSE))*100</f>
        <v>0.18672018878964636</v>
      </c>
      <c r="E29" s="20">
        <f>VLOOKUP(B29,[1]Трансп!A$3:U$39,17,FALSE)/1000</f>
        <v>0</v>
      </c>
      <c r="F29" s="20">
        <f>VLOOKUP(B29,[1]Трансп!A$3:U$39,8,FALSE)/1000</f>
        <v>316.411</v>
      </c>
      <c r="G29" s="89">
        <v>0.6</v>
      </c>
      <c r="H29" s="20">
        <f>VLOOKUP(B29,[1]Трансп!A$3:U$39,15,FALSE)/1000</f>
        <v>0</v>
      </c>
      <c r="I29" s="30">
        <f t="shared" si="0"/>
        <v>66.859281124866101</v>
      </c>
      <c r="J29" s="63">
        <v>7604192192</v>
      </c>
    </row>
    <row r="30" spans="1:19" x14ac:dyDescent="0.25">
      <c r="A30" s="29">
        <v>27</v>
      </c>
      <c r="B30" s="69" t="s">
        <v>8</v>
      </c>
      <c r="C30" s="20">
        <f>VLOOKUP(B30,[1]Трансп!A$3:U$39,10,FALSE)/1000</f>
        <v>494.49</v>
      </c>
      <c r="D30" s="89">
        <f>(1-VLOOKUP(B30,[1]Трансп!A$3:U$39,14,FALSE)/VLOOKUP(B30,[1]Трансп!A$3:U$39,10,FALSE))*100</f>
        <v>3.3608364173188576</v>
      </c>
      <c r="E30" s="20">
        <f>VLOOKUP(B30,[1]Трансп!A$3:U$39,17,FALSE)/1000</f>
        <v>0.33</v>
      </c>
      <c r="F30" s="20">
        <f>VLOOKUP(B30,[1]Трансп!A$3:U$39,8,FALSE)/1000</f>
        <v>391.98899999999998</v>
      </c>
      <c r="G30" s="89">
        <f>(1-VLOOKUP(B30,[1]Трансп!A$3:U$39,12,FALSE)/VLOOKUP(B30,[1]Трансп!A$3:U$39,8,FALSE))*100</f>
        <v>4.7690113753192094</v>
      </c>
      <c r="H30" s="20">
        <f>VLOOKUP(B30,[1]Трансп!A$3:U$39,15,FALSE)/1000</f>
        <v>0.33400000000000002</v>
      </c>
      <c r="I30" s="30">
        <f t="shared" si="0"/>
        <v>26.148948057215904</v>
      </c>
      <c r="J30" s="63">
        <v>3015028318</v>
      </c>
    </row>
    <row r="31" spans="1:19" x14ac:dyDescent="0.25">
      <c r="A31" s="29">
        <v>28</v>
      </c>
      <c r="B31" s="76" t="s">
        <v>28</v>
      </c>
      <c r="C31" s="33">
        <f>VLOOKUP(B31,[1]Трансп!A$3:U$39,10,FALSE)/1000</f>
        <v>462.053</v>
      </c>
      <c r="D31" s="90">
        <f>(1-VLOOKUP(B31,[1]Трансп!A$3:U$39,14,FALSE)/VLOOKUP(B31,[1]Трансп!A$3:U$39,10,FALSE))*100</f>
        <v>6.1659593163554849</v>
      </c>
      <c r="E31" s="33">
        <f>VLOOKUP(B31,[1]Трансп!A$3:U$39,17,FALSE)/1000</f>
        <v>0</v>
      </c>
      <c r="F31" s="33">
        <f>VLOOKUP(B31,[1]Трансп!A$3:U$39,8,FALSE)/1000</f>
        <v>269.25099999999998</v>
      </c>
      <c r="G31" s="89">
        <v>11.4</v>
      </c>
      <c r="H31" s="33">
        <f>VLOOKUP(B31,[1]Трансп!A$3:U$39,15,FALSE)/1000</f>
        <v>0</v>
      </c>
      <c r="I31" s="75">
        <f t="shared" si="0"/>
        <v>71.6067906897282</v>
      </c>
      <c r="J31" s="67">
        <v>6450939546</v>
      </c>
    </row>
    <row r="32" spans="1:19" x14ac:dyDescent="0.25">
      <c r="A32" s="29">
        <v>29</v>
      </c>
      <c r="B32" s="69" t="s">
        <v>20</v>
      </c>
      <c r="C32" s="20">
        <f>VLOOKUP(B32,[1]Трансп!A$3:U$39,10,FALSE)/1000</f>
        <v>436.25900000000001</v>
      </c>
      <c r="D32" s="89">
        <f>(1-VLOOKUP(B32,[1]Трансп!A$3:U$39,14,FALSE)/VLOOKUP(B32,[1]Трансп!A$3:U$39,10,FALSE))*100</f>
        <v>1.4108591455992858</v>
      </c>
      <c r="E32" s="20">
        <f>VLOOKUP(B32,[1]Трансп!A$3:U$39,17,FALSE)/1000</f>
        <v>0</v>
      </c>
      <c r="F32" s="20">
        <f>VLOOKUP(B32,[1]Трансп!A$3:U$39,8,FALSE)/1000</f>
        <v>195.18600000000001</v>
      </c>
      <c r="G32" s="89">
        <v>4</v>
      </c>
      <c r="H32" s="20">
        <f>VLOOKUP(B32,[1]Трансп!A$3:U$39,15,FALSE)/1000</f>
        <v>0</v>
      </c>
      <c r="I32" s="30">
        <f t="shared" si="0"/>
        <v>123.50937054911726</v>
      </c>
      <c r="J32" s="63">
        <v>4632066518</v>
      </c>
    </row>
    <row r="33" spans="1:19" x14ac:dyDescent="0.25">
      <c r="A33" s="29">
        <v>30</v>
      </c>
      <c r="B33" s="69" t="s">
        <v>86</v>
      </c>
      <c r="C33" s="20">
        <f>VLOOKUP(B33,[2]Трансп!A$2:CP$32,79,FALSE)/1000</f>
        <v>379.46904700000005</v>
      </c>
      <c r="D33" s="89">
        <f>(1-VLOOKUP(B33,[2]Трансп!A$2:CP$32,83,FALSE)/VLOOKUP(B33,[2]Трансп!A$2:CP$32,79,FALSE))*100</f>
        <v>4.3822038006699486</v>
      </c>
      <c r="E33" s="20" t="s">
        <v>85</v>
      </c>
      <c r="F33" s="20">
        <f>VLOOKUP(B33,[2]Трансп!A$2:CP$32,77,FALSE)/1000</f>
        <v>62.057000000000002</v>
      </c>
      <c r="G33" s="89">
        <f>(1-VLOOKUP(B33,[2]Трансп!A$2:CP$32,81,FALSE)/VLOOKUP(B33,[2]Трансп!A$2:CP$32,77,FALSE))*100</f>
        <v>14.501184394991707</v>
      </c>
      <c r="H33" s="20" t="s">
        <v>85</v>
      </c>
      <c r="I33" s="30">
        <f t="shared" si="0"/>
        <v>511.48467860193057</v>
      </c>
      <c r="J33" s="63" t="s">
        <v>145</v>
      </c>
    </row>
    <row r="34" spans="1:19" x14ac:dyDescent="0.25">
      <c r="A34" s="29">
        <v>31</v>
      </c>
      <c r="B34" s="76" t="s">
        <v>44</v>
      </c>
      <c r="C34" s="33">
        <f>VLOOKUP(B34,[2]Трансп!A$2:CP$32,79,FALSE)/1000</f>
        <v>370</v>
      </c>
      <c r="D34" s="90">
        <f>(1-VLOOKUP(B34,[2]Трансп!A$2:CP$32,83,FALSE)/VLOOKUP(B34,[2]Трансп!A$2:CP$32,79,FALSE))*100</f>
        <v>0</v>
      </c>
      <c r="E34" s="33" t="s">
        <v>85</v>
      </c>
      <c r="F34" s="33">
        <f>VLOOKUP(B34,[2]Трансп!A$2:CP$32,77,FALSE)/1000</f>
        <v>164</v>
      </c>
      <c r="G34" s="90">
        <f>(1-VLOOKUP(B34,[2]Трансп!A$2:CP$32,81,FALSE)/VLOOKUP(B34,[2]Трансп!A$2:CP$32,77,FALSE))*100</f>
        <v>0</v>
      </c>
      <c r="H34" s="33" t="s">
        <v>85</v>
      </c>
      <c r="I34" s="75">
        <f t="shared" si="0"/>
        <v>125.60975609756096</v>
      </c>
      <c r="J34" s="67">
        <v>7704472891</v>
      </c>
    </row>
    <row r="35" spans="1:19" x14ac:dyDescent="0.25">
      <c r="A35" s="29">
        <v>32</v>
      </c>
      <c r="B35" s="69" t="s">
        <v>99</v>
      </c>
      <c r="C35" s="20">
        <f>VLOOKUP(B35,[1]Трансп!A$3:U$39,10,FALSE)/1000</f>
        <v>296.91773000000001</v>
      </c>
      <c r="D35" s="89">
        <f>(1-VLOOKUP(B35,[1]Трансп!A$3:U$39,14,FALSE)/VLOOKUP(B35,[1]Трансп!A$3:U$39,10,FALSE))*100</f>
        <v>5.3489564264153078E-2</v>
      </c>
      <c r="E35" s="20">
        <v>0</v>
      </c>
      <c r="F35" s="20">
        <v>0</v>
      </c>
      <c r="G35" s="89" t="s">
        <v>100</v>
      </c>
      <c r="H35" s="20">
        <v>0</v>
      </c>
      <c r="I35" s="30" t="s">
        <v>100</v>
      </c>
      <c r="J35" s="63" t="s">
        <v>154</v>
      </c>
    </row>
    <row r="36" spans="1:19" x14ac:dyDescent="0.25">
      <c r="A36" s="29">
        <v>33</v>
      </c>
      <c r="B36" s="69" t="s">
        <v>12</v>
      </c>
      <c r="C36" s="20">
        <f>VLOOKUP(B36,[1]Трансп!A$3:U$39,10,FALSE)/1000</f>
        <v>220.476</v>
      </c>
      <c r="D36" s="89">
        <f>(1-VLOOKUP(B36,[1]Трансп!A$3:U$39,14,FALSE)/VLOOKUP(B36,[1]Трансп!A$3:U$39,10,FALSE))*100</f>
        <v>0.98922331682359532</v>
      </c>
      <c r="E36" s="20">
        <f>VLOOKUP(B36,[1]Трансп!A$3:U$39,17,FALSE)/1000</f>
        <v>369.87</v>
      </c>
      <c r="F36" s="20">
        <f>VLOOKUP(B36,[1]Трансп!A$3:U$39,8,FALSE)/1000</f>
        <v>103.82299999999999</v>
      </c>
      <c r="G36" s="89">
        <v>5.5</v>
      </c>
      <c r="H36" s="20">
        <f>VLOOKUP(B36,[1]Трансп!A$3:U$39,15,FALSE)/1000</f>
        <v>43</v>
      </c>
      <c r="I36" s="30">
        <f t="shared" si="0"/>
        <v>112.35757009525828</v>
      </c>
      <c r="J36" s="63">
        <v>7536165141</v>
      </c>
    </row>
    <row r="37" spans="1:19" s="10" customFormat="1" x14ac:dyDescent="0.25">
      <c r="A37" s="29">
        <v>34</v>
      </c>
      <c r="B37" s="69" t="s">
        <v>19</v>
      </c>
      <c r="C37" s="20">
        <f>VLOOKUP(B37,[1]Трансп!A$3:U$39,10,FALSE)/1000</f>
        <v>212.709</v>
      </c>
      <c r="D37" s="89">
        <f>(1-VLOOKUP(B37,[1]Трансп!A$3:U$39,14,FALSE)/VLOOKUP(B37,[1]Трансп!A$3:U$39,10,FALSE))*100</f>
        <v>11.364822362946558</v>
      </c>
      <c r="E37" s="20">
        <f>VLOOKUP(B37,[1]Трансп!A$3:U$39,17,FALSE)/1000</f>
        <v>0</v>
      </c>
      <c r="F37" s="20">
        <f>VLOOKUP(B37,[1]Трансп!A$3:U$39,8,FALSE)/1000</f>
        <v>156.75299999999999</v>
      </c>
      <c r="G37" s="89">
        <f>(1-VLOOKUP(B37,[1]Трансп!A$3:U$39,12,FALSE)/VLOOKUP(B37,[1]Трансп!A$3:U$39,8,FALSE))*100</f>
        <v>72.044554171212027</v>
      </c>
      <c r="H37" s="20">
        <f>VLOOKUP(B37,[1]Трансп!A$3:U$39,15,FALSE)/1000</f>
        <v>0</v>
      </c>
      <c r="I37" s="30">
        <f t="shared" si="0"/>
        <v>35.696924460775882</v>
      </c>
      <c r="J37" s="63">
        <v>4501153372</v>
      </c>
      <c r="K37" s="37"/>
      <c r="L37" s="37"/>
      <c r="M37" s="37"/>
      <c r="N37" s="37"/>
      <c r="O37" s="37"/>
      <c r="P37" s="37"/>
      <c r="Q37" s="37"/>
      <c r="R37" s="37"/>
      <c r="S37" s="37"/>
    </row>
    <row r="38" spans="1:19" x14ac:dyDescent="0.25">
      <c r="A38" s="29">
        <v>35</v>
      </c>
      <c r="B38" s="69" t="s">
        <v>6</v>
      </c>
      <c r="C38" s="20">
        <f>VLOOKUP(B38,[1]Трансп!A$3:U$39,10,FALSE)/1000</f>
        <v>199.81800000000001</v>
      </c>
      <c r="D38" s="89">
        <f>(1-VLOOKUP(B38,[1]Трансп!A$3:U$39,14,FALSE)/VLOOKUP(B38,[1]Трансп!A$3:U$39,10,FALSE))*100</f>
        <v>1.1660611156152134</v>
      </c>
      <c r="E38" s="20">
        <f>VLOOKUP(B38,[1]Трансп!A$3:U$39,17,FALSE)/1000</f>
        <v>0</v>
      </c>
      <c r="F38" s="20">
        <f>VLOOKUP(B38,[1]Трансп!A$3:U$39,8,FALSE)/1000</f>
        <v>161.21600000000001</v>
      </c>
      <c r="G38" s="89">
        <f>(1-VLOOKUP(B38,[1]Трансп!A$3:U$39,12,FALSE)/VLOOKUP(B38,[1]Трансп!A$3:U$39,8,FALSE))*100</f>
        <v>0</v>
      </c>
      <c r="H38" s="20">
        <f>VLOOKUP(B38,[1]Трансп!A$3:U$39,15,FALSE)/1000</f>
        <v>0</v>
      </c>
      <c r="I38" s="30">
        <f t="shared" si="0"/>
        <v>23.944273521238578</v>
      </c>
      <c r="J38" s="63">
        <v>2801249882</v>
      </c>
    </row>
    <row r="39" spans="1:19" x14ac:dyDescent="0.25">
      <c r="A39" s="29">
        <v>36</v>
      </c>
      <c r="B39" s="69" t="s">
        <v>40</v>
      </c>
      <c r="C39" s="20">
        <f>VLOOKUP(B39,[1]Трансп!A$3:U$39,10,FALSE)/1000</f>
        <v>151.53531000000001</v>
      </c>
      <c r="D39" s="89">
        <f>(1-VLOOKUP(B39,[1]Трансп!A$3:U$39,14,FALSE)/VLOOKUP(B39,[1]Трансп!A$3:U$39,10,FALSE))*100</f>
        <v>6.3979411795178409</v>
      </c>
      <c r="E39" s="20">
        <f>VLOOKUP(B39,[1]Трансп!A$3:U$39,17,FALSE)/1000</f>
        <v>2.8998000000000004</v>
      </c>
      <c r="F39" s="20">
        <f>VLOOKUP(B39,[1]Трансп!A$3:U$39,8,FALSE)/1000</f>
        <v>178.57266000000001</v>
      </c>
      <c r="G39" s="89">
        <f>(1-VLOOKUP(B39,[1]Трансп!A$3:U$39,12,FALSE)/VLOOKUP(B39,[1]Трансп!A$3:U$39,8,FALSE))*100</f>
        <v>2.135601272893628</v>
      </c>
      <c r="H39" s="20">
        <f>VLOOKUP(B39,[1]Трансп!A$3:U$39,15,FALSE)/1000</f>
        <v>10.726809999999999</v>
      </c>
      <c r="I39" s="30">
        <f t="shared" si="0"/>
        <v>-15.140811588963288</v>
      </c>
      <c r="J39" s="63">
        <v>1435296482</v>
      </c>
    </row>
    <row r="40" spans="1:19" x14ac:dyDescent="0.25">
      <c r="A40" s="29">
        <v>37</v>
      </c>
      <c r="B40" s="69" t="s">
        <v>53</v>
      </c>
      <c r="C40" s="20">
        <f>VLOOKUP(B40,[2]Трансп!A$2:CP$32,79,FALSE)/1000</f>
        <v>114.47272835999999</v>
      </c>
      <c r="D40" s="89">
        <f>(1-VLOOKUP(B40,[2]Трансп!A$2:CP$32,83,FALSE)/VLOOKUP(B40,[2]Трансп!A$2:CP$32,79,FALSE))*100</f>
        <v>48.58029089261413</v>
      </c>
      <c r="E40" s="20" t="s">
        <v>85</v>
      </c>
      <c r="F40" s="33">
        <f>VLOOKUP(B40,[2]Трансп!A$2:CP$32,77,FALSE)/1000</f>
        <v>93.614999999999995</v>
      </c>
      <c r="G40" s="90">
        <f>(1-VLOOKUP(B40,[2]Трансп!A$2:CP$32,81,FALSE)/VLOOKUP(B40,[2]Трансп!A$2:CP$32,77,FALSE))*100</f>
        <v>46.020402713240408</v>
      </c>
      <c r="H40" s="20" t="s">
        <v>85</v>
      </c>
      <c r="I40" s="30">
        <f t="shared" si="0"/>
        <v>22.280327255247556</v>
      </c>
      <c r="J40" s="63" t="s">
        <v>149</v>
      </c>
    </row>
    <row r="41" spans="1:19" x14ac:dyDescent="0.25">
      <c r="A41" s="29">
        <v>38</v>
      </c>
      <c r="B41" s="69" t="s">
        <v>11</v>
      </c>
      <c r="C41" s="20">
        <f>VLOOKUP(B41,[1]Трансп!A$3:U$39,10,FALSE)/1000</f>
        <v>85.304000000000002</v>
      </c>
      <c r="D41" s="89">
        <f>(1-VLOOKUP(B41,[1]Трансп!A$3:U$39,14,FALSE)/VLOOKUP(B41,[1]Трансп!A$3:U$39,10,FALSE))*100</f>
        <v>0</v>
      </c>
      <c r="E41" s="20">
        <f>VLOOKUP(B41,[1]Трансп!A$3:U$39,17,FALSE)/1000</f>
        <v>0</v>
      </c>
      <c r="F41" s="20">
        <f>VLOOKUP(B41,[1]Трансп!A$3:U$39,8,FALSE)/1000</f>
        <v>42.494</v>
      </c>
      <c r="G41" s="89">
        <f>(1-VLOOKUP(B41,[1]Трансп!A$3:U$39,12,FALSE)/VLOOKUP(B41,[1]Трансп!A$3:U$39,8,FALSE))*100</f>
        <v>0</v>
      </c>
      <c r="H41" s="20">
        <f>VLOOKUP(B41,[1]Трансп!A$3:U$39,15,FALSE)/1000</f>
        <v>0</v>
      </c>
      <c r="I41" s="30">
        <f t="shared" si="0"/>
        <v>100.74363439544408</v>
      </c>
      <c r="J41" s="63">
        <v>7901550330</v>
      </c>
    </row>
    <row r="42" spans="1:19" x14ac:dyDescent="0.25">
      <c r="A42" s="29">
        <v>39</v>
      </c>
      <c r="B42" s="69" t="s">
        <v>33</v>
      </c>
      <c r="C42" s="20">
        <f>VLOOKUP(B42,[1]Трансп!A$3:U$39,10,FALSE)/1000</f>
        <v>70.72</v>
      </c>
      <c r="D42" s="89">
        <f>(1-VLOOKUP(B42,[1]Трансп!A$3:U$39,14,FALSE)/VLOOKUP(B42,[1]Трансп!A$3:U$39,10,FALSE))*100</f>
        <v>2.0277149321267007</v>
      </c>
      <c r="E42" s="20">
        <f>VLOOKUP(B42,[1]Трансп!A$3:U$39,17,FALSE)/1000</f>
        <v>0</v>
      </c>
      <c r="F42" s="20">
        <f>VLOOKUP(B42,[1]Трансп!A$3:U$39,8,FALSE)/1000</f>
        <v>73.449780000000004</v>
      </c>
      <c r="G42" s="89">
        <f>(1-VLOOKUP(B42,[1]Трансп!A$3:U$39,12,FALSE)/VLOOKUP(B42,[1]Трансп!A$3:U$39,8,FALSE))*100</f>
        <v>1.5471387388770852</v>
      </c>
      <c r="H42" s="20">
        <f>VLOOKUP(B42,[1]Трансп!A$3:U$39,15,FALSE)/1000</f>
        <v>0</v>
      </c>
      <c r="I42" s="30">
        <f t="shared" si="0"/>
        <v>-3.7165257676741947</v>
      </c>
      <c r="J42" s="63">
        <v>6154035727</v>
      </c>
    </row>
    <row r="43" spans="1:19" x14ac:dyDescent="0.25">
      <c r="A43" s="29">
        <v>40</v>
      </c>
      <c r="B43" s="69" t="s">
        <v>47</v>
      </c>
      <c r="C43" s="20">
        <f>VLOOKUP(B43,[2]Трансп!A$2:CP$32,79,FALSE)/1000</f>
        <v>61.265000000000001</v>
      </c>
      <c r="D43" s="89">
        <f>(1-VLOOKUP(B43,[2]Трансп!A$2:CP$32,83,FALSE)/VLOOKUP(B43,[2]Трансп!A$2:CP$32,79,FALSE))*100</f>
        <v>13.588508936586962</v>
      </c>
      <c r="E43" s="20" t="s">
        <v>85</v>
      </c>
      <c r="F43" s="33">
        <f>VLOOKUP(B43,[2]Трансп!A$2:CP$32,77,FALSE)/1000</f>
        <v>38.728000000000002</v>
      </c>
      <c r="G43" s="90">
        <f>(1-VLOOKUP(B43,[2]Трансп!A$2:CP$32,81,FALSE)/VLOOKUP(B43,[2]Трансп!A$2:CP$32,77,FALSE))*100</f>
        <v>11.490394546581284</v>
      </c>
      <c r="H43" s="20" t="s">
        <v>85</v>
      </c>
      <c r="I43" s="30">
        <f t="shared" si="0"/>
        <v>58.193038628382567</v>
      </c>
      <c r="J43" s="63">
        <v>5407487242</v>
      </c>
    </row>
    <row r="44" spans="1:19" x14ac:dyDescent="0.25">
      <c r="A44" s="29">
        <v>41</v>
      </c>
      <c r="B44" s="69" t="s">
        <v>42</v>
      </c>
      <c r="C44" s="20">
        <f>VLOOKUP(B44,[2]Трансп!A$2:CP$32,79,FALSE)/1000</f>
        <v>46.058999999999997</v>
      </c>
      <c r="D44" s="89">
        <f>(1-VLOOKUP(B44,[2]Трансп!A$2:CP$32,83,FALSE)/VLOOKUP(B44,[2]Трансп!A$2:CP$32,79,FALSE))*100</f>
        <v>29.750971579930084</v>
      </c>
      <c r="E44" s="20" t="s">
        <v>85</v>
      </c>
      <c r="F44" s="20">
        <f>VLOOKUP(B44,[2]Трансп!A$2:CP$32,77,FALSE)/1000</f>
        <v>19.584</v>
      </c>
      <c r="G44" s="89">
        <f>(1-VLOOKUP(B44,[2]Трансп!A$2:CP$32,81,FALSE)/VLOOKUP(B44,[2]Трансп!A$2:CP$32,77,FALSE))*100</f>
        <v>27.736928104575163</v>
      </c>
      <c r="H44" s="20" t="s">
        <v>85</v>
      </c>
      <c r="I44" s="30">
        <f t="shared" si="0"/>
        <v>135.18688725490193</v>
      </c>
      <c r="J44" s="63" t="s">
        <v>148</v>
      </c>
    </row>
    <row r="45" spans="1:19" x14ac:dyDescent="0.25">
      <c r="A45" s="29">
        <v>42</v>
      </c>
      <c r="B45" s="69" t="s">
        <v>36</v>
      </c>
      <c r="C45" s="20">
        <f>VLOOKUP(B45,[1]Трансп!A$3:U$39,10,FALSE)/1000</f>
        <v>34.923999999999999</v>
      </c>
      <c r="D45" s="89">
        <f>(1-VLOOKUP(B45,[1]Трансп!A$3:U$39,14,FALSE)/VLOOKUP(B45,[1]Трансп!A$3:U$39,10,FALSE))*100</f>
        <v>3.0351620662008916</v>
      </c>
      <c r="E45" s="20">
        <f>VLOOKUP(B45,[1]Трансп!A$3:U$39,17,FALSE)/1000</f>
        <v>0</v>
      </c>
      <c r="F45" s="20">
        <f>VLOOKUP(B45,[1]Трансп!A$3:U$39,8,FALSE)/1000</f>
        <v>30.148</v>
      </c>
      <c r="G45" s="89">
        <v>6.5</v>
      </c>
      <c r="H45" s="20">
        <f>VLOOKUP(B45,[1]Трансп!A$3:U$39,15,FALSE)/1000</f>
        <v>0</v>
      </c>
      <c r="I45" s="30">
        <f t="shared" si="0"/>
        <v>15.841846888682509</v>
      </c>
      <c r="J45" s="63">
        <v>3818029140</v>
      </c>
    </row>
    <row r="46" spans="1:19" x14ac:dyDescent="0.25">
      <c r="A46" s="29">
        <v>43</v>
      </c>
      <c r="B46" s="69" t="s">
        <v>63</v>
      </c>
      <c r="C46" s="20">
        <f>VLOOKUP(B46,[2]Трансп!A$2:CP$32,79,FALSE)/1000</f>
        <v>6.9580000000000002</v>
      </c>
      <c r="D46" s="90">
        <f>(1-VLOOKUP(B46,[2]Трансп!A$2:CP$32,83,FALSE)/VLOOKUP(B46,[2]Трансп!A$2:CP$32,79,FALSE))*100</f>
        <v>100</v>
      </c>
      <c r="E46" s="33" t="s">
        <v>85</v>
      </c>
      <c r="F46" s="33">
        <f>VLOOKUP(B46,[2]Трансп!A$2:CP$32,77,FALSE)/1000</f>
        <v>6.9580000000000002</v>
      </c>
      <c r="G46" s="90">
        <f>(1-VLOOKUP(B46,[2]Трансп!A$2:CP$32,81,FALSE)/VLOOKUP(B46,[2]Трансп!A$2:CP$32,77,FALSE))*100</f>
        <v>100</v>
      </c>
      <c r="H46" s="20" t="s">
        <v>85</v>
      </c>
      <c r="I46" s="30">
        <f t="shared" si="0"/>
        <v>0</v>
      </c>
      <c r="J46" s="63" t="s">
        <v>151</v>
      </c>
      <c r="M46" s="37">
        <f>VLOOKUP(B46,[2]Трансп!A$2:CP$32,83,FALSE)</f>
        <v>0</v>
      </c>
      <c r="O46" s="37">
        <f>VLOOKUP(B46,[2]Трансп!A$2:CP$32,79,FALSE)</f>
        <v>6958</v>
      </c>
    </row>
    <row r="47" spans="1:19" x14ac:dyDescent="0.25">
      <c r="A47" s="29">
        <v>44</v>
      </c>
      <c r="B47" s="69" t="s">
        <v>62</v>
      </c>
      <c r="C47" s="20">
        <f>VLOOKUP(B47,[2]Трансп!A$2:CP$32,79,FALSE)/1000</f>
        <v>3.3849999999999998</v>
      </c>
      <c r="D47" s="89">
        <f>(1-VLOOKUP(B47,[2]Трансп!A$2:CP$32,83,FALSE)/VLOOKUP(B47,[2]Трансп!A$2:CP$32,79,FALSE))*100</f>
        <v>84.756277695716392</v>
      </c>
      <c r="E47" s="20" t="s">
        <v>85</v>
      </c>
      <c r="F47" s="20">
        <f>VLOOKUP(B47,[2]Трансп!A$2:CP$32,77,FALSE)/1000</f>
        <v>3.2639999999999998</v>
      </c>
      <c r="G47" s="89">
        <f>(1-VLOOKUP(B47,[2]Трансп!A$2:CP$32,81,FALSE)/VLOOKUP(B47,[2]Трансп!A$2:CP$32,77,FALSE))*100</f>
        <v>86.887254901960787</v>
      </c>
      <c r="H47" s="20" t="s">
        <v>85</v>
      </c>
      <c r="I47" s="30">
        <f t="shared" si="0"/>
        <v>3.7071078431372584</v>
      </c>
      <c r="J47" s="63">
        <v>7838492459</v>
      </c>
    </row>
  </sheetData>
  <sortState xmlns:xlrd2="http://schemas.microsoft.com/office/spreadsheetml/2017/richdata2" ref="B4:H50">
    <sortCondition descending="1" ref="C4:C50"/>
  </sortState>
  <mergeCells count="5">
    <mergeCell ref="A2:A3"/>
    <mergeCell ref="B2:B3"/>
    <mergeCell ref="C2:E2"/>
    <mergeCell ref="F2:H2"/>
    <mergeCell ref="I2:I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28B19-A00F-4F4B-9669-7E18529CFC06}">
  <dimension ref="A1:E67"/>
  <sheetViews>
    <sheetView topLeftCell="A24" workbookViewId="0">
      <selection activeCell="C40" sqref="C40"/>
    </sheetView>
  </sheetViews>
  <sheetFormatPr defaultRowHeight="15" x14ac:dyDescent="0.25"/>
  <cols>
    <col min="2" max="2" width="95.7109375" customWidth="1"/>
    <col min="3" max="4" width="9.140625" style="11"/>
  </cols>
  <sheetData>
    <row r="1" spans="1:5" x14ac:dyDescent="0.25">
      <c r="A1" s="21" t="s">
        <v>127</v>
      </c>
      <c r="B1" s="35"/>
      <c r="C1" s="53"/>
      <c r="D1" s="53"/>
      <c r="E1" s="54"/>
    </row>
    <row r="2" spans="1:5" ht="67.5" x14ac:dyDescent="0.25">
      <c r="A2" s="55" t="s">
        <v>112</v>
      </c>
      <c r="B2" s="55" t="s">
        <v>0</v>
      </c>
      <c r="C2" s="57" t="s">
        <v>124</v>
      </c>
      <c r="D2" s="57" t="s">
        <v>125</v>
      </c>
      <c r="E2" s="56" t="s">
        <v>126</v>
      </c>
    </row>
    <row r="3" spans="1:5" x14ac:dyDescent="0.25">
      <c r="B3" t="s">
        <v>5</v>
      </c>
      <c r="C3" s="11">
        <f>VLOOKUP(B3,[1]Трансп!A$3:U$39,20,FALSE)/1000</f>
        <v>509.12965000000003</v>
      </c>
      <c r="D3" s="11">
        <f>VLOOKUP(B3,[1]Трансп!A$3:U$39,18,FALSE)/1000</f>
        <v>417.19499999999999</v>
      </c>
    </row>
    <row r="4" spans="1:5" x14ac:dyDescent="0.25">
      <c r="B4" t="s">
        <v>6</v>
      </c>
      <c r="C4" s="11">
        <f>VLOOKUP(B4,[1]Трансп!A$3:U$39,20,FALSE)/1000</f>
        <v>90.51</v>
      </c>
      <c r="D4" s="11">
        <f>VLOOKUP(B4,[1]Трансп!A$3:U$39,18,FALSE)/1000</f>
        <v>109.628</v>
      </c>
    </row>
    <row r="5" spans="1:5" x14ac:dyDescent="0.25">
      <c r="B5" t="s">
        <v>7</v>
      </c>
      <c r="C5" s="11">
        <f>VLOOKUP(B5,[1]Трансп!A$3:U$39,20,FALSE)/1000</f>
        <v>178.16</v>
      </c>
      <c r="D5" s="11">
        <f>VLOOKUP(B5,[1]Трансп!A$3:U$39,18,FALSE)/1000</f>
        <v>104.26528900000001</v>
      </c>
    </row>
    <row r="6" spans="1:5" x14ac:dyDescent="0.25">
      <c r="B6" t="s">
        <v>8</v>
      </c>
      <c r="C6" s="11">
        <f>VLOOKUP(B6,[1]Трансп!A$3:U$39,20,FALSE)/1000</f>
        <v>160.10400000000001</v>
      </c>
      <c r="D6" s="11">
        <f>VLOOKUP(B6,[1]Трансп!A$3:U$39,18,FALSE)/1000</f>
        <v>116.414</v>
      </c>
    </row>
    <row r="7" spans="1:5" x14ac:dyDescent="0.25">
      <c r="B7" t="s">
        <v>9</v>
      </c>
      <c r="C7" s="11">
        <f>VLOOKUP(B7,[1]Трансп!A$3:U$39,20,FALSE)/1000</f>
        <v>223.85599999999999</v>
      </c>
      <c r="D7" s="11">
        <f>VLOOKUP(B7,[1]Трансп!A$3:U$39,18,FALSE)/1000</f>
        <v>127.176</v>
      </c>
    </row>
    <row r="8" spans="1:5" x14ac:dyDescent="0.25">
      <c r="B8" t="s">
        <v>10</v>
      </c>
      <c r="C8" s="11">
        <f>VLOOKUP(B8,[1]Трансп!A$3:U$39,20,FALSE)/1000</f>
        <v>268.56799999999998</v>
      </c>
      <c r="D8" s="11">
        <f>VLOOKUP(B8,[1]Трансп!A$3:U$39,18,FALSE)/1000</f>
        <v>208.054</v>
      </c>
    </row>
    <row r="9" spans="1:5" x14ac:dyDescent="0.25">
      <c r="B9" t="s">
        <v>11</v>
      </c>
      <c r="C9" s="11">
        <f>VLOOKUP(B9,[1]Трансп!A$3:U$39,20,FALSE)/1000</f>
        <v>37.381999999999998</v>
      </c>
      <c r="D9" s="11">
        <f>VLOOKUP(B9,[1]Трансп!A$3:U$39,18,FALSE)/1000</f>
        <v>34.259</v>
      </c>
    </row>
    <row r="10" spans="1:5" x14ac:dyDescent="0.25">
      <c r="B10" t="s">
        <v>12</v>
      </c>
      <c r="C10" s="11">
        <f>VLOOKUP(B10,[1]Трансп!A$3:U$39,20,FALSE)/1000</f>
        <v>50.48</v>
      </c>
      <c r="D10" s="11">
        <f>VLOOKUP(B10,[1]Трансп!A$3:U$39,18,FALSE)/1000</f>
        <v>47.75</v>
      </c>
    </row>
    <row r="11" spans="1:5" x14ac:dyDescent="0.25">
      <c r="B11" t="s">
        <v>13</v>
      </c>
      <c r="C11" s="11">
        <f>VLOOKUP(B11,[1]Трансп!A$3:U$39,20,FALSE)/1000</f>
        <v>276.14499999999998</v>
      </c>
      <c r="D11" s="11">
        <f>VLOOKUP(B11,[1]Трансп!A$3:U$39,18,FALSE)/1000</f>
        <v>206.15</v>
      </c>
    </row>
    <row r="12" spans="1:5" x14ac:dyDescent="0.25">
      <c r="B12" t="s">
        <v>14</v>
      </c>
      <c r="C12" s="11">
        <f>VLOOKUP(B12,[1]Трансп!A$3:U$39,20,FALSE)/1000</f>
        <v>242.72200000000001</v>
      </c>
      <c r="D12" s="11">
        <f>VLOOKUP(B12,[1]Трансп!A$3:U$39,18,FALSE)/1000</f>
        <v>240.03700000000001</v>
      </c>
    </row>
    <row r="13" spans="1:5" x14ac:dyDescent="0.25">
      <c r="B13" t="s">
        <v>15</v>
      </c>
      <c r="C13" s="11">
        <f>VLOOKUP(B13,[1]Трансп!A$3:U$39,20,FALSE)/1000</f>
        <v>216.18396999999999</v>
      </c>
      <c r="D13" s="11">
        <f>VLOOKUP(B13,[1]Трансп!A$3:U$39,18,FALSE)/1000</f>
        <v>216.62700000000001</v>
      </c>
    </row>
    <row r="14" spans="1:5" x14ac:dyDescent="0.25">
      <c r="B14" t="s">
        <v>16</v>
      </c>
      <c r="C14" s="11">
        <f>VLOOKUP(B14,[1]Трансп!A$3:U$39,20,FALSE)/1000</f>
        <v>358.178</v>
      </c>
      <c r="D14" s="11">
        <f>VLOOKUP(B14,[1]Трансп!A$3:U$39,18,FALSE)/1000</f>
        <v>323.38499999999999</v>
      </c>
    </row>
    <row r="15" spans="1:5" x14ac:dyDescent="0.25">
      <c r="B15" t="s">
        <v>17</v>
      </c>
      <c r="C15" s="11">
        <f>VLOOKUP(B15,[1]Трансп!A$3:U$39,20,FALSE)/1000</f>
        <v>790.81500000000005</v>
      </c>
      <c r="D15" s="11">
        <f>VLOOKUP(B15,[1]Трансп!A$3:U$39,18,FALSE)/1000</f>
        <v>782.12400000000002</v>
      </c>
    </row>
    <row r="16" spans="1:5" x14ac:dyDescent="0.25">
      <c r="B16" t="s">
        <v>18</v>
      </c>
      <c r="C16" s="11">
        <f>VLOOKUP(B16,[1]Трансп!A$3:U$39,20,FALSE)/1000</f>
        <v>730.22840000000008</v>
      </c>
      <c r="D16" s="11">
        <f>VLOOKUP(B16,[1]Трансп!A$3:U$39,18,FALSE)/1000</f>
        <v>489.79040000000003</v>
      </c>
    </row>
    <row r="17" spans="2:4" x14ac:dyDescent="0.25">
      <c r="B17" t="s">
        <v>19</v>
      </c>
      <c r="C17" s="11">
        <f>VLOOKUP(B17,[1]Трансп!A$3:U$39,20,FALSE)/1000</f>
        <v>56.040999999999997</v>
      </c>
      <c r="D17" s="11">
        <f>VLOOKUP(B17,[1]Трансп!A$3:U$39,18,FALSE)/1000</f>
        <v>101.48</v>
      </c>
    </row>
    <row r="18" spans="2:4" x14ac:dyDescent="0.25">
      <c r="B18" t="s">
        <v>20</v>
      </c>
      <c r="C18" s="11">
        <f>VLOOKUP(B18,[1]Трансп!A$3:U$39,20,FALSE)/1000</f>
        <v>160.28200000000001</v>
      </c>
      <c r="D18" s="11">
        <f>VLOOKUP(B18,[1]Трансп!A$3:U$39,18,FALSE)/1000</f>
        <v>76.936999999999998</v>
      </c>
    </row>
    <row r="19" spans="2:4" x14ac:dyDescent="0.25">
      <c r="B19" t="s">
        <v>21</v>
      </c>
      <c r="C19" s="11">
        <f>VLOOKUP(B19,[1]Трансп!A$3:U$39,20,FALSE)/1000</f>
        <v>230.785</v>
      </c>
      <c r="D19" s="11">
        <f>VLOOKUP(B19,[1]Трансп!A$3:U$39,18,FALSE)/1000</f>
        <v>201.50899999999999</v>
      </c>
    </row>
    <row r="20" spans="2:4" x14ac:dyDescent="0.25">
      <c r="B20" t="s">
        <v>22</v>
      </c>
      <c r="C20" s="11">
        <f>VLOOKUP(B20,[1]Трансп!A$3:U$39,20,FALSE)/1000</f>
        <v>172.09200000000001</v>
      </c>
      <c r="D20" s="11">
        <f>VLOOKUP(B20,[1]Трансп!A$3:U$39,18,FALSE)/1000</f>
        <v>164.35300000000001</v>
      </c>
    </row>
    <row r="21" spans="2:4" x14ac:dyDescent="0.25">
      <c r="B21" t="s">
        <v>23</v>
      </c>
      <c r="C21" s="11">
        <f>VLOOKUP(B21,[1]Трансп!A$3:U$39,20,FALSE)/1000</f>
        <v>361.62599999999998</v>
      </c>
      <c r="D21" s="11">
        <f>VLOOKUP(B21,[1]Трансп!A$3:U$39,18,FALSE)/1000</f>
        <v>430.34699999999998</v>
      </c>
    </row>
    <row r="22" spans="2:4" x14ac:dyDescent="0.25">
      <c r="B22" t="s">
        <v>24</v>
      </c>
      <c r="C22" s="11">
        <f>VLOOKUP(B22,[1]Трансп!A$3:U$39,20,FALSE)/1000</f>
        <v>444.70600000000002</v>
      </c>
      <c r="D22" s="11">
        <f>VLOOKUP(B22,[1]Трансп!A$3:U$39,18,FALSE)/1000</f>
        <v>506.04</v>
      </c>
    </row>
    <row r="23" spans="2:4" x14ac:dyDescent="0.25">
      <c r="B23" t="s">
        <v>25</v>
      </c>
      <c r="C23" s="11">
        <f>VLOOKUP(B23,[1]Трансп!A$3:U$39,20,FALSE)/1000</f>
        <v>230.98</v>
      </c>
      <c r="D23" s="11">
        <f>VLOOKUP(B23,[1]Трансп!A$3:U$39,18,FALSE)/1000</f>
        <v>226.30699999999999</v>
      </c>
    </row>
    <row r="24" spans="2:4" x14ac:dyDescent="0.25">
      <c r="B24" t="s">
        <v>26</v>
      </c>
      <c r="C24" s="11">
        <f>VLOOKUP(B24,[1]Трансп!A$3:U$39,20,FALSE)/1000</f>
        <v>167.822</v>
      </c>
      <c r="D24" s="11">
        <f>VLOOKUP(B24,[1]Трансп!A$3:U$39,18,FALSE)/1000</f>
        <v>233.637</v>
      </c>
    </row>
    <row r="25" spans="2:4" x14ac:dyDescent="0.25">
      <c r="B25" t="s">
        <v>27</v>
      </c>
      <c r="C25" s="11">
        <f>VLOOKUP(B25,[1]Трансп!A$3:U$39,20,FALSE)/1000</f>
        <v>484.13671999999997</v>
      </c>
      <c r="D25" s="11">
        <f>VLOOKUP(B25,[1]Трансп!A$3:U$39,18,FALSE)/1000</f>
        <v>437.79642000000001</v>
      </c>
    </row>
    <row r="26" spans="2:4" x14ac:dyDescent="0.25">
      <c r="B26" t="s">
        <v>28</v>
      </c>
      <c r="C26" s="11">
        <f>VLOOKUP(B26,[1]Трансп!A$3:U$39,20,FALSE)/1000</f>
        <v>214.49299999999999</v>
      </c>
      <c r="D26" s="11">
        <f>VLOOKUP(B26,[1]Трансп!A$3:U$39,18,FALSE)/1000</f>
        <v>95.495000000000005</v>
      </c>
    </row>
    <row r="27" spans="2:4" x14ac:dyDescent="0.25">
      <c r="B27" t="s">
        <v>29</v>
      </c>
      <c r="C27" s="11">
        <f>VLOOKUP(B27,[1]Трансп!A$3:U$39,20,FALSE)/1000</f>
        <v>124.093</v>
      </c>
      <c r="D27" s="11">
        <f>VLOOKUP(B27,[1]Трансп!A$3:U$39,18,FALSE)/1000</f>
        <v>145.732</v>
      </c>
    </row>
    <row r="28" spans="2:4" x14ac:dyDescent="0.25">
      <c r="B28" t="s">
        <v>30</v>
      </c>
      <c r="C28" s="11">
        <f>VLOOKUP(B28,[1]Трансп!A$3:U$39,20,FALSE)/1000</f>
        <v>546.13576</v>
      </c>
      <c r="D28" s="11">
        <f>VLOOKUP(B28,[1]Трансп!A$3:U$39,18,FALSE)/1000</f>
        <v>623.96500000000003</v>
      </c>
    </row>
    <row r="29" spans="2:4" x14ac:dyDescent="0.25">
      <c r="B29" t="s">
        <v>32</v>
      </c>
      <c r="C29" s="11">
        <f>VLOOKUP(B29,[1]Трансп!A$3:U$39,20,FALSE)/1000</f>
        <v>350.75957</v>
      </c>
      <c r="D29" s="11">
        <f>VLOOKUP(B29,[1]Трансп!A$3:U$39,18,FALSE)/1000</f>
        <v>378.19499999999999</v>
      </c>
    </row>
    <row r="30" spans="2:4" x14ac:dyDescent="0.25">
      <c r="B30" t="s">
        <v>33</v>
      </c>
      <c r="C30" s="11">
        <f>VLOOKUP(B30,[1]Трансп!A$3:U$39,20,FALSE)/1000</f>
        <v>40.270000000000003</v>
      </c>
      <c r="D30" s="11">
        <f>VLOOKUP(B30,[1]Трансп!A$3:U$39,18,FALSE)/1000</f>
        <v>42.13</v>
      </c>
    </row>
    <row r="31" spans="2:4" x14ac:dyDescent="0.25">
      <c r="B31" t="s">
        <v>34</v>
      </c>
      <c r="C31" s="11">
        <f>VLOOKUP(B31,[1]Трансп!A$3:U$39,20,FALSE)/1000</f>
        <v>388.70318599999996</v>
      </c>
      <c r="D31" s="11">
        <f>VLOOKUP(B31,[1]Трансп!A$3:U$39,18,FALSE)/1000</f>
        <v>437.04500000000002</v>
      </c>
    </row>
    <row r="32" spans="2:4" x14ac:dyDescent="0.25">
      <c r="B32" t="s">
        <v>35</v>
      </c>
      <c r="C32" s="11">
        <f>VLOOKUP(B32,[1]Трансп!A$3:U$39,20,FALSE)/1000</f>
        <v>501.48</v>
      </c>
      <c r="D32" s="11">
        <f>VLOOKUP(B32,[1]Трансп!A$3:U$39,18,FALSE)/1000</f>
        <v>380.53065999999995</v>
      </c>
    </row>
    <row r="33" spans="2:4" x14ac:dyDescent="0.25">
      <c r="B33" t="s">
        <v>36</v>
      </c>
      <c r="C33" s="11">
        <f>VLOOKUP(B33,[1]Трансп!A$3:U$39,20,FALSE)/1000</f>
        <v>23.593</v>
      </c>
      <c r="D33" s="11">
        <f>VLOOKUP(B33,[1]Трансп!A$3:U$39,18,FALSE)/1000</f>
        <v>21.579000000000001</v>
      </c>
    </row>
    <row r="34" spans="2:4" x14ac:dyDescent="0.25">
      <c r="B34" t="s">
        <v>37</v>
      </c>
      <c r="C34" s="11">
        <f>VLOOKUP(B34,[1]Трансп!A$3:U$39,20,FALSE)/1000</f>
        <v>222.494</v>
      </c>
      <c r="D34" s="11">
        <f>VLOOKUP(B34,[1]Трансп!A$3:U$39,18,FALSE)/1000</f>
        <v>151.55799999999999</v>
      </c>
    </row>
    <row r="35" spans="2:4" x14ac:dyDescent="0.25">
      <c r="B35" t="s">
        <v>38</v>
      </c>
      <c r="C35" s="11">
        <f>VLOOKUP(B35,[1]Трансп!A$3:U$39,20,FALSE)/1000</f>
        <v>650.14499999999998</v>
      </c>
      <c r="D35" s="11">
        <f>VLOOKUP(B35,[1]Трансп!A$3:U$39,18,FALSE)/1000</f>
        <v>290.56799999999998</v>
      </c>
    </row>
    <row r="36" spans="2:4" x14ac:dyDescent="0.25">
      <c r="B36" t="s">
        <v>39</v>
      </c>
      <c r="C36" s="11">
        <f>VLOOKUP(B36,[1]Трансп!A$3:U$39,20,FALSE)/1000</f>
        <v>328.303</v>
      </c>
      <c r="D36" s="11">
        <f>VLOOKUP(B36,[1]Трансп!A$3:U$39,18,FALSE)/1000</f>
        <v>294.02100000000002</v>
      </c>
    </row>
    <row r="37" spans="2:4" x14ac:dyDescent="0.25">
      <c r="B37" t="s">
        <v>40</v>
      </c>
      <c r="C37" s="11">
        <f>VLOOKUP(B37,[1]Трансп!A$3:U$39,20,FALSE)/1000</f>
        <v>34.62059</v>
      </c>
      <c r="D37" s="11">
        <f>VLOOKUP(B37,[1]Трансп!A$3:U$39,18,FALSE)/1000</f>
        <v>25.484999999999999</v>
      </c>
    </row>
    <row r="38" spans="2:4" x14ac:dyDescent="0.25">
      <c r="B38" t="s">
        <v>41</v>
      </c>
      <c r="C38" s="11">
        <f>VLOOKUP(B38,[1]Трансп!A$3:U$39,20,FALSE)/1000</f>
        <v>215.945866</v>
      </c>
      <c r="D38" s="11">
        <f>VLOOKUP(B38,[1]Трансп!A$3:U$39,18,FALSE)/1000</f>
        <v>118.44</v>
      </c>
    </row>
    <row r="39" spans="2:4" x14ac:dyDescent="0.25">
      <c r="B39" t="s">
        <v>99</v>
      </c>
      <c r="C39" s="11">
        <f>VLOOKUP(B39,[1]Трансп!A$3:U$39,20,FALSE)/1000</f>
        <v>89.487049999999996</v>
      </c>
      <c r="D39" s="11">
        <v>0</v>
      </c>
    </row>
    <row r="40" spans="2:4" s="10" customFormat="1" x14ac:dyDescent="0.25">
      <c r="B40" s="10" t="s">
        <v>42</v>
      </c>
      <c r="C40" s="12">
        <f>VLOOKUP(B40,[2]Трансп!A$2:CP$32,87,FALSE)/1000</f>
        <v>31.34</v>
      </c>
      <c r="D40" s="12">
        <f>VLOOKUP(B40,[2]Трансп!A$2:CP$32,85,FALSE)/1000</f>
        <v>40</v>
      </c>
    </row>
    <row r="41" spans="2:4" x14ac:dyDescent="0.25">
      <c r="B41" t="s">
        <v>44</v>
      </c>
      <c r="C41" s="11">
        <f>VLOOKUP(B41,[2]Трансп!A$2:CP$32,87,FALSE)/1000</f>
        <v>240.15</v>
      </c>
      <c r="D41" s="11">
        <f>VLOOKUP(B41,[2]Трансп!A$2:CP$32,85,FALSE)/1000</f>
        <v>109.4</v>
      </c>
    </row>
    <row r="42" spans="2:4" x14ac:dyDescent="0.25">
      <c r="B42" t="s">
        <v>45</v>
      </c>
      <c r="C42" s="11">
        <f>VLOOKUP(B42,[2]Трансп!A$2:CP$32,87,FALSE)/1000</f>
        <v>0</v>
      </c>
      <c r="D42" s="11">
        <f>VLOOKUP(B42,[2]Трансп!A$2:CP$32,85,FALSE)/1000</f>
        <v>0</v>
      </c>
    </row>
    <row r="43" spans="2:4" x14ac:dyDescent="0.25">
      <c r="B43" t="s">
        <v>46</v>
      </c>
      <c r="C43" s="11">
        <f>VLOOKUP(B43,[2]Трансп!A$2:CP$32,87,FALSE)/1000</f>
        <v>0</v>
      </c>
      <c r="D43" s="11">
        <f>VLOOKUP(B43,[2]Трансп!A$2:CP$32,85,FALSE)/1000</f>
        <v>0</v>
      </c>
    </row>
    <row r="44" spans="2:4" x14ac:dyDescent="0.25">
      <c r="B44" t="s">
        <v>47</v>
      </c>
      <c r="C44" s="11">
        <f>VLOOKUP(B44,[2]Трансп!A$2:CP$32,87,FALSE)/1000</f>
        <v>51.435000000000002</v>
      </c>
      <c r="D44" s="11">
        <f>VLOOKUP(B44,[2]Трансп!A$2:CP$32,85,FALSE)/1000</f>
        <v>36.866</v>
      </c>
    </row>
    <row r="45" spans="2:4" x14ac:dyDescent="0.25">
      <c r="B45" t="s">
        <v>48</v>
      </c>
      <c r="C45" s="11">
        <f>VLOOKUP(B45,[2]Трансп!A$2:CP$32,87,FALSE)/1000</f>
        <v>0</v>
      </c>
      <c r="D45" s="11">
        <f>VLOOKUP(B45,[2]Трансп!A$2:CP$32,85,FALSE)/1000</f>
        <v>0</v>
      </c>
    </row>
    <row r="46" spans="2:4" x14ac:dyDescent="0.25">
      <c r="B46" t="s">
        <v>49</v>
      </c>
      <c r="C46" s="11">
        <f>VLOOKUP(B46,[2]Трансп!A$2:CP$32,87,FALSE)/1000</f>
        <v>0</v>
      </c>
      <c r="D46" s="11">
        <f>VLOOKUP(B46,[2]Трансп!A$2:CP$32,85,FALSE)/1000</f>
        <v>0</v>
      </c>
    </row>
    <row r="47" spans="2:4" x14ac:dyDescent="0.25">
      <c r="B47" t="s">
        <v>50</v>
      </c>
      <c r="C47" s="11">
        <f>VLOOKUP(B47,[2]Трансп!A$2:CP$32,87,FALSE)/1000</f>
        <v>0</v>
      </c>
      <c r="D47" s="11">
        <f>VLOOKUP(B47,[2]Трансп!A$2:CP$32,85,FALSE)/1000</f>
        <v>0</v>
      </c>
    </row>
    <row r="48" spans="2:4" x14ac:dyDescent="0.25">
      <c r="B48" t="s">
        <v>51</v>
      </c>
      <c r="C48" s="11">
        <f>VLOOKUP(B48,[2]Трансп!A$2:CP$32,87,FALSE)/1000</f>
        <v>0</v>
      </c>
      <c r="D48" s="11">
        <f>VLOOKUP(B48,[2]Трансп!A$2:CP$32,85,FALSE)/1000</f>
        <v>5</v>
      </c>
    </row>
    <row r="49" spans="2:4" x14ac:dyDescent="0.25">
      <c r="B49" t="s">
        <v>52</v>
      </c>
      <c r="C49" s="11">
        <f>VLOOKUP(B49,[2]Трансп!A$2:CP$32,87,FALSE)/1000</f>
        <v>0</v>
      </c>
      <c r="D49" s="11">
        <f>VLOOKUP(B49,[2]Трансп!A$2:CP$32,85,FALSE)/1000</f>
        <v>0</v>
      </c>
    </row>
    <row r="50" spans="2:4" x14ac:dyDescent="0.25">
      <c r="B50" t="s">
        <v>53</v>
      </c>
      <c r="C50" s="11">
        <f>VLOOKUP(B50,[2]Трансп!A$2:CP$32,87,FALSE)/1000</f>
        <v>113.435</v>
      </c>
      <c r="D50" s="11">
        <f>VLOOKUP(B50,[2]Трансп!A$2:CP$32,85,FALSE)/1000</f>
        <v>71.678005150000004</v>
      </c>
    </row>
    <row r="51" spans="2:4" x14ac:dyDescent="0.25">
      <c r="B51" t="s">
        <v>54</v>
      </c>
      <c r="C51" s="11">
        <f>VLOOKUP(B51,[2]Трансп!A$2:CP$32,87,FALSE)/1000</f>
        <v>0</v>
      </c>
      <c r="D51" s="11">
        <f>VLOOKUP(B51,[2]Трансп!A$2:CP$32,85,FALSE)/1000</f>
        <v>0</v>
      </c>
    </row>
    <row r="52" spans="2:4" x14ac:dyDescent="0.25">
      <c r="B52" t="s">
        <v>55</v>
      </c>
      <c r="C52" s="11">
        <f>VLOOKUP(B52,[2]Трансп!A$2:CP$32,87,FALSE)/1000</f>
        <v>0</v>
      </c>
      <c r="D52" s="11">
        <f>VLOOKUP(B52,[2]Трансп!A$2:CP$32,85,FALSE)/1000</f>
        <v>0</v>
      </c>
    </row>
    <row r="53" spans="2:4" x14ac:dyDescent="0.25">
      <c r="B53" t="s">
        <v>56</v>
      </c>
      <c r="C53" s="11">
        <f>VLOOKUP(B53,[2]Трансп!A$2:CP$32,87,FALSE)/1000</f>
        <v>0</v>
      </c>
      <c r="D53" s="11">
        <f>VLOOKUP(B53,[2]Трансп!A$2:CP$32,85,FALSE)/1000</f>
        <v>0</v>
      </c>
    </row>
    <row r="54" spans="2:4" x14ac:dyDescent="0.25">
      <c r="B54" t="s">
        <v>57</v>
      </c>
      <c r="C54" s="11">
        <f>VLOOKUP(B54,[2]Трансп!A$2:CP$32,87,FALSE)/1000</f>
        <v>0</v>
      </c>
      <c r="D54" s="11">
        <f>VLOOKUP(B54,[2]Трансп!A$2:CP$32,85,FALSE)/1000</f>
        <v>0</v>
      </c>
    </row>
    <row r="55" spans="2:4" x14ac:dyDescent="0.25">
      <c r="B55" t="s">
        <v>58</v>
      </c>
      <c r="C55" s="11">
        <f>VLOOKUP(B55,[2]Трансп!A$2:CP$32,87,FALSE)/1000</f>
        <v>0</v>
      </c>
      <c r="D55" s="11">
        <f>VLOOKUP(B55,[2]Трансп!A$2:CP$32,85,FALSE)/1000</f>
        <v>0</v>
      </c>
    </row>
    <row r="56" spans="2:4" x14ac:dyDescent="0.25">
      <c r="B56" t="s">
        <v>59</v>
      </c>
      <c r="C56" s="11">
        <f>VLOOKUP(B56,[2]Трансп!A$2:CP$32,87,FALSE)/1000</f>
        <v>0</v>
      </c>
      <c r="D56" s="11">
        <f>VLOOKUP(B56,[2]Трансп!A$2:CP$32,85,FALSE)/1000</f>
        <v>0</v>
      </c>
    </row>
    <row r="57" spans="2:4" x14ac:dyDescent="0.25">
      <c r="B57" t="s">
        <v>60</v>
      </c>
      <c r="C57" s="11">
        <f>VLOOKUP(B57,[2]Трансп!A$2:CP$32,87,FALSE)/1000</f>
        <v>0</v>
      </c>
      <c r="D57" s="11">
        <f>VLOOKUP(B57,[2]Трансп!A$2:CP$32,85,FALSE)/1000</f>
        <v>0</v>
      </c>
    </row>
    <row r="58" spans="2:4" x14ac:dyDescent="0.25">
      <c r="B58" t="s">
        <v>86</v>
      </c>
      <c r="C58" s="11">
        <f>VLOOKUP(B58,[2]Трансп!A$2:CP$32,87,FALSE)/1000</f>
        <v>462.296854</v>
      </c>
      <c r="D58" s="11">
        <f>VLOOKUP(B58,[2]Трансп!A$2:CP$32,85,FALSE)/1000</f>
        <v>68.831999999999994</v>
      </c>
    </row>
    <row r="59" spans="2:4" x14ac:dyDescent="0.25">
      <c r="B59" t="s">
        <v>61</v>
      </c>
      <c r="C59" s="11">
        <f>VLOOKUP(B59,[2]Трансп!A$2:CP$32,87,FALSE)/1000</f>
        <v>0</v>
      </c>
      <c r="D59" s="11">
        <f>VLOOKUP(B59,[2]Трансп!A$2:CP$32,85,FALSE)/1000</f>
        <v>0</v>
      </c>
    </row>
    <row r="60" spans="2:4" x14ac:dyDescent="0.25">
      <c r="B60" t="s">
        <v>62</v>
      </c>
      <c r="C60" s="11">
        <f>VLOOKUP(B60,[2]Трансп!A$2:CP$32,87,FALSE)/1000</f>
        <v>0.2</v>
      </c>
      <c r="D60" s="11">
        <f>VLOOKUP(B60,[2]Трансп!A$2:CP$32,85,FALSE)/1000</f>
        <v>0.12</v>
      </c>
    </row>
    <row r="61" spans="2:4" x14ac:dyDescent="0.25">
      <c r="B61" t="s">
        <v>63</v>
      </c>
      <c r="C61" s="11">
        <f>VLOOKUP(B61,[2]Трансп!A$2:CP$32,87,FALSE)/1000</f>
        <v>0</v>
      </c>
      <c r="D61" s="11">
        <f>VLOOKUP(B61,[2]Трансп!A$2:CP$32,85,FALSE)/1000</f>
        <v>0</v>
      </c>
    </row>
    <row r="62" spans="2:4" x14ac:dyDescent="0.25">
      <c r="B62" t="s">
        <v>64</v>
      </c>
      <c r="C62" s="11">
        <f>VLOOKUP(B62,[2]Трансп!A$2:CP$32,87,FALSE)/1000</f>
        <v>0</v>
      </c>
      <c r="D62" s="11">
        <f>VLOOKUP(B62,[2]Трансп!A$2:CP$32,85,FALSE)/1000</f>
        <v>0</v>
      </c>
    </row>
    <row r="63" spans="2:4" x14ac:dyDescent="0.25">
      <c r="B63" t="s">
        <v>65</v>
      </c>
      <c r="C63" s="11">
        <f>VLOOKUP(B63,[2]Трансп!A$2:CP$32,87,FALSE)/1000</f>
        <v>3.4000000000000002E-2</v>
      </c>
      <c r="D63" s="11">
        <f>VLOOKUP(B63,[2]Трансп!A$2:CP$32,85,FALSE)/1000</f>
        <v>0</v>
      </c>
    </row>
    <row r="64" spans="2:4" x14ac:dyDescent="0.25">
      <c r="B64" t="s">
        <v>66</v>
      </c>
      <c r="C64" s="11">
        <f>VLOOKUP(B64,[2]Трансп!A$2:CP$32,87,FALSE)/1000</f>
        <v>0</v>
      </c>
      <c r="D64" s="11">
        <f>VLOOKUP(B64,[2]Трансп!A$2:CP$32,85,FALSE)/1000</f>
        <v>0</v>
      </c>
    </row>
    <row r="65" spans="2:4" x14ac:dyDescent="0.25">
      <c r="B65" t="s">
        <v>67</v>
      </c>
      <c r="C65" s="11">
        <f>VLOOKUP(B65,[2]Трансп!A$2:CP$32,87,FALSE)/1000</f>
        <v>0</v>
      </c>
      <c r="D65" s="11">
        <f>VLOOKUP(B65,[2]Трансп!A$2:CP$32,85,FALSE)/1000</f>
        <v>0</v>
      </c>
    </row>
    <row r="66" spans="2:4" x14ac:dyDescent="0.25">
      <c r="B66" t="s">
        <v>68</v>
      </c>
      <c r="C66" s="11">
        <f>VLOOKUP(B66,[2]Трансп!A$2:CP$32,87,FALSE)/1000</f>
        <v>0</v>
      </c>
      <c r="D66" s="11">
        <f>VLOOKUP(B66,[2]Трансп!A$2:CP$32,85,FALSE)/1000</f>
        <v>0</v>
      </c>
    </row>
    <row r="67" spans="2:4" x14ac:dyDescent="0.25">
      <c r="B67" t="s">
        <v>69</v>
      </c>
      <c r="C67" s="11">
        <f>VLOOKUP(B67,[2]Трансп!A$2:CP$32,87,FALSE)/1000</f>
        <v>0</v>
      </c>
      <c r="D67" s="11">
        <f>VLOOKUP(B67,[2]Трансп!A$2:CP$32,85,FALSE)/1000</f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19C5-E649-4105-88FC-BC5A65C9E8B7}">
  <dimension ref="A1:F46"/>
  <sheetViews>
    <sheetView workbookViewId="0">
      <selection activeCell="A2" sqref="A2:E46"/>
    </sheetView>
  </sheetViews>
  <sheetFormatPr defaultRowHeight="15" x14ac:dyDescent="0.25"/>
  <cols>
    <col min="2" max="2" width="95.7109375" customWidth="1"/>
    <col min="3" max="4" width="9.140625" style="11"/>
    <col min="6" max="6" width="15.7109375" style="63" customWidth="1"/>
  </cols>
  <sheetData>
    <row r="1" spans="1:6" x14ac:dyDescent="0.25">
      <c r="A1" s="21" t="s">
        <v>155</v>
      </c>
      <c r="B1" s="35"/>
      <c r="C1" s="53"/>
      <c r="D1" s="53"/>
      <c r="E1" s="54"/>
    </row>
    <row r="2" spans="1:6" ht="78.75" x14ac:dyDescent="0.25">
      <c r="A2" s="55" t="s">
        <v>73</v>
      </c>
      <c r="B2" s="55" t="s">
        <v>0</v>
      </c>
      <c r="C2" s="57" t="s">
        <v>129</v>
      </c>
      <c r="D2" s="57" t="s">
        <v>128</v>
      </c>
      <c r="E2" s="56" t="s">
        <v>126</v>
      </c>
    </row>
    <row r="3" spans="1:6" x14ac:dyDescent="0.25">
      <c r="A3" s="29">
        <v>1</v>
      </c>
      <c r="B3" s="69" t="s">
        <v>17</v>
      </c>
      <c r="C3" s="20">
        <f>VLOOKUP(B3,[1]Трансп!A$3:U$39,20,FALSE)/1000</f>
        <v>790.81500000000005</v>
      </c>
      <c r="D3" s="20">
        <f>VLOOKUP(B3,[1]Трансп!A$3:U$39,18,FALSE)/1000</f>
        <v>782.12400000000002</v>
      </c>
      <c r="E3" s="30">
        <f t="shared" ref="E3:E46" si="0">(C3/D3-1)*100</f>
        <v>1.111204872884608</v>
      </c>
      <c r="F3" s="63">
        <v>2310981029</v>
      </c>
    </row>
    <row r="4" spans="1:6" x14ac:dyDescent="0.25">
      <c r="A4" s="29">
        <v>2</v>
      </c>
      <c r="B4" s="69" t="s">
        <v>18</v>
      </c>
      <c r="C4" s="20">
        <f>VLOOKUP(B4,[1]Трансп!A$3:U$39,20,FALSE)/1000</f>
        <v>730.22840000000008</v>
      </c>
      <c r="D4" s="20">
        <f>VLOOKUP(B4,[1]Трансп!A$3:U$39,18,FALSE)/1000</f>
        <v>489.79040000000003</v>
      </c>
      <c r="E4" s="30">
        <f t="shared" si="0"/>
        <v>49.089978080419705</v>
      </c>
      <c r="F4" s="63">
        <v>9102023109</v>
      </c>
    </row>
    <row r="5" spans="1:6" x14ac:dyDescent="0.25">
      <c r="A5" s="29">
        <v>3</v>
      </c>
      <c r="B5" s="69" t="s">
        <v>38</v>
      </c>
      <c r="C5" s="20">
        <f>VLOOKUP(B5,[1]Трансп!A$3:U$39,20,FALSE)/1000</f>
        <v>650.14499999999998</v>
      </c>
      <c r="D5" s="20">
        <f>VLOOKUP(B5,[1]Трансп!A$3:U$39,18,FALSE)/1000</f>
        <v>290.56799999999998</v>
      </c>
      <c r="E5" s="30">
        <f t="shared" si="0"/>
        <v>123.74969026183203</v>
      </c>
      <c r="F5" s="63">
        <v>2130058291</v>
      </c>
    </row>
    <row r="6" spans="1:6" x14ac:dyDescent="0.25">
      <c r="A6" s="29">
        <v>4</v>
      </c>
      <c r="B6" s="69" t="s">
        <v>30</v>
      </c>
      <c r="C6" s="20">
        <f>VLOOKUP(B6,[1]Трансп!A$3:U$39,20,FALSE)/1000</f>
        <v>546.13576</v>
      </c>
      <c r="D6" s="20">
        <f>VLOOKUP(B6,[1]Трансп!A$3:U$39,18,FALSE)/1000</f>
        <v>623.96500000000003</v>
      </c>
      <c r="E6" s="30">
        <f t="shared" si="0"/>
        <v>-12.473334241503931</v>
      </c>
      <c r="F6" s="63">
        <v>6671118019</v>
      </c>
    </row>
    <row r="7" spans="1:6" x14ac:dyDescent="0.25">
      <c r="A7" s="29">
        <v>5</v>
      </c>
      <c r="B7" s="69" t="s">
        <v>5</v>
      </c>
      <c r="C7" s="20">
        <f>VLOOKUP(B7,[1]Трансп!A$3:U$39,20,FALSE)/1000</f>
        <v>509.12965000000003</v>
      </c>
      <c r="D7" s="20">
        <f>VLOOKUP(B7,[1]Трансп!A$3:U$39,18,FALSE)/1000</f>
        <v>417.19499999999999</v>
      </c>
      <c r="E7" s="30">
        <f t="shared" si="0"/>
        <v>22.036373877922809</v>
      </c>
      <c r="F7" s="63">
        <v>2221171632</v>
      </c>
    </row>
    <row r="8" spans="1:6" x14ac:dyDescent="0.25">
      <c r="A8" s="29">
        <v>6</v>
      </c>
      <c r="B8" s="69" t="s">
        <v>35</v>
      </c>
      <c r="C8" s="20">
        <f>VLOOKUP(B8,[1]Трансп!A$3:U$39,20,FALSE)/1000</f>
        <v>501.48</v>
      </c>
      <c r="D8" s="20">
        <f>VLOOKUP(B8,[1]Трансп!A$3:U$39,18,FALSE)/1000</f>
        <v>380.53065999999995</v>
      </c>
      <c r="E8" s="30">
        <f t="shared" si="0"/>
        <v>31.784387623325827</v>
      </c>
      <c r="F8" s="63">
        <v>1831045838</v>
      </c>
    </row>
    <row r="9" spans="1:6" x14ac:dyDescent="0.25">
      <c r="A9" s="29">
        <v>7</v>
      </c>
      <c r="B9" s="69" t="s">
        <v>27</v>
      </c>
      <c r="C9" s="20">
        <f>VLOOKUP(B9,[1]Трансп!A$3:U$39,20,FALSE)/1000</f>
        <v>484.13671999999997</v>
      </c>
      <c r="D9" s="20">
        <f>VLOOKUP(B9,[1]Трансп!A$3:U$39,18,FALSE)/1000</f>
        <v>437.79642000000001</v>
      </c>
      <c r="E9" s="30">
        <f t="shared" si="0"/>
        <v>10.584896971062484</v>
      </c>
      <c r="F9" s="63">
        <v>6164072742</v>
      </c>
    </row>
    <row r="10" spans="1:6" x14ac:dyDescent="0.25">
      <c r="A10" s="29">
        <v>8</v>
      </c>
      <c r="B10" s="69" t="s">
        <v>86</v>
      </c>
      <c r="C10" s="20">
        <f>VLOOKUP(B10,[2]Трансп!A$2:CP$32,87,FALSE)/1000</f>
        <v>462.296854</v>
      </c>
      <c r="D10" s="20">
        <f>VLOOKUP(B10,[2]Трансп!A$2:CP$32,85,FALSE)/1000</f>
        <v>68.831999999999994</v>
      </c>
      <c r="E10" s="30">
        <f t="shared" si="0"/>
        <v>571.63071536494658</v>
      </c>
      <c r="F10" s="63" t="s">
        <v>145</v>
      </c>
    </row>
    <row r="11" spans="1:6" x14ac:dyDescent="0.25">
      <c r="A11" s="29">
        <v>9</v>
      </c>
      <c r="B11" s="69" t="s">
        <v>24</v>
      </c>
      <c r="C11" s="20">
        <f>VLOOKUP(B11,[1]Трансп!A$3:U$39,20,FALSE)/1000</f>
        <v>444.70600000000002</v>
      </c>
      <c r="D11" s="20">
        <f>VLOOKUP(B11,[1]Трансп!A$3:U$39,18,FALSE)/1000</f>
        <v>506.04</v>
      </c>
      <c r="E11" s="30">
        <f t="shared" si="0"/>
        <v>-12.120385740257689</v>
      </c>
      <c r="F11" s="63">
        <v>5406570716</v>
      </c>
    </row>
    <row r="12" spans="1:6" x14ac:dyDescent="0.25">
      <c r="A12" s="29">
        <v>10</v>
      </c>
      <c r="B12" s="69" t="s">
        <v>34</v>
      </c>
      <c r="C12" s="20">
        <f>VLOOKUP(B12,[1]Трансп!A$3:U$39,20,FALSE)/1000</f>
        <v>388.70318599999996</v>
      </c>
      <c r="D12" s="20">
        <f>VLOOKUP(B12,[1]Трансп!A$3:U$39,18,FALSE)/1000</f>
        <v>437.04500000000002</v>
      </c>
      <c r="E12" s="30">
        <f t="shared" si="0"/>
        <v>-11.061060989143012</v>
      </c>
      <c r="F12" s="63">
        <v>1655259599</v>
      </c>
    </row>
    <row r="13" spans="1:6" x14ac:dyDescent="0.25">
      <c r="A13" s="29">
        <v>11</v>
      </c>
      <c r="B13" s="69" t="s">
        <v>23</v>
      </c>
      <c r="C13" s="20">
        <f>VLOOKUP(B13,[1]Трансп!A$3:U$39,20,FALSE)/1000</f>
        <v>361.62599999999998</v>
      </c>
      <c r="D13" s="20">
        <f>VLOOKUP(B13,[1]Трансп!A$3:U$39,18,FALSE)/1000</f>
        <v>430.34699999999998</v>
      </c>
      <c r="E13" s="30">
        <f t="shared" si="0"/>
        <v>-15.968741503949136</v>
      </c>
      <c r="F13" s="63">
        <v>5321059541</v>
      </c>
    </row>
    <row r="14" spans="1:6" x14ac:dyDescent="0.25">
      <c r="A14" s="29">
        <v>12</v>
      </c>
      <c r="B14" s="69" t="s">
        <v>16</v>
      </c>
      <c r="C14" s="20">
        <f>VLOOKUP(B14,[1]Трансп!A$3:U$39,20,FALSE)/1000</f>
        <v>358.178</v>
      </c>
      <c r="D14" s="20">
        <f>VLOOKUP(B14,[1]Трансп!A$3:U$39,18,FALSE)/1000</f>
        <v>323.38499999999999</v>
      </c>
      <c r="E14" s="30">
        <f t="shared" si="0"/>
        <v>10.759002427447161</v>
      </c>
      <c r="F14" s="63">
        <v>4345045088</v>
      </c>
    </row>
    <row r="15" spans="1:6" x14ac:dyDescent="0.25">
      <c r="A15" s="29">
        <v>13</v>
      </c>
      <c r="B15" s="69" t="s">
        <v>32</v>
      </c>
      <c r="C15" s="20">
        <f>VLOOKUP(B15,[1]Трансп!A$3:U$39,20,FALSE)/1000</f>
        <v>350.75957</v>
      </c>
      <c r="D15" s="20">
        <f>VLOOKUP(B15,[1]Трансп!A$3:U$39,18,FALSE)/1000</f>
        <v>378.19499999999999</v>
      </c>
      <c r="E15" s="30">
        <f t="shared" si="0"/>
        <v>-7.2543079628234146</v>
      </c>
      <c r="F15" s="63">
        <v>2634091033</v>
      </c>
    </row>
    <row r="16" spans="1:6" x14ac:dyDescent="0.25">
      <c r="A16" s="29">
        <v>14</v>
      </c>
      <c r="B16" s="69" t="s">
        <v>39</v>
      </c>
      <c r="C16" s="20">
        <f>VLOOKUP(B16,[1]Трансп!A$3:U$39,20,FALSE)/1000</f>
        <v>328.303</v>
      </c>
      <c r="D16" s="20">
        <f>VLOOKUP(B16,[1]Трансп!A$3:U$39,18,FALSE)/1000</f>
        <v>294.02100000000002</v>
      </c>
      <c r="E16" s="30">
        <f t="shared" si="0"/>
        <v>11.659711381159843</v>
      </c>
      <c r="F16" s="63">
        <v>8601042850</v>
      </c>
    </row>
    <row r="17" spans="1:6" x14ac:dyDescent="0.25">
      <c r="A17" s="29">
        <v>15</v>
      </c>
      <c r="B17" s="69" t="s">
        <v>13</v>
      </c>
      <c r="C17" s="20">
        <f>VLOOKUP(B17,[1]Трансп!A$3:U$39,20,FALSE)/1000</f>
        <v>276.14499999999998</v>
      </c>
      <c r="D17" s="20">
        <f>VLOOKUP(B17,[1]Трансп!A$3:U$39,18,FALSE)/1000</f>
        <v>206.15</v>
      </c>
      <c r="E17" s="30">
        <f t="shared" si="0"/>
        <v>33.953431967014303</v>
      </c>
      <c r="F17" s="63">
        <v>3801990027</v>
      </c>
    </row>
    <row r="18" spans="1:6" x14ac:dyDescent="0.25">
      <c r="A18" s="29">
        <v>16</v>
      </c>
      <c r="B18" s="69" t="s">
        <v>10</v>
      </c>
      <c r="C18" s="20">
        <f>VLOOKUP(B18,[1]Трансп!A$3:U$39,20,FALSE)/1000</f>
        <v>268.56799999999998</v>
      </c>
      <c r="D18" s="20">
        <f>VLOOKUP(B18,[1]Трансп!A$3:U$39,18,FALSE)/1000</f>
        <v>208.054</v>
      </c>
      <c r="E18" s="30">
        <f t="shared" si="0"/>
        <v>29.085718130869864</v>
      </c>
      <c r="F18" s="63">
        <v>3525251257</v>
      </c>
    </row>
    <row r="19" spans="1:6" x14ac:dyDescent="0.25">
      <c r="A19" s="29">
        <v>17</v>
      </c>
      <c r="B19" s="69" t="s">
        <v>14</v>
      </c>
      <c r="C19" s="20">
        <f>VLOOKUP(B19,[1]Трансп!A$3:U$39,20,FALSE)/1000</f>
        <v>242.72200000000001</v>
      </c>
      <c r="D19" s="20">
        <f>VLOOKUP(B19,[1]Трансп!A$3:U$39,18,FALSE)/1000</f>
        <v>240.03700000000001</v>
      </c>
      <c r="E19" s="30">
        <f t="shared" si="0"/>
        <v>1.1185775526272979</v>
      </c>
      <c r="F19" s="63">
        <v>4101091354</v>
      </c>
    </row>
    <row r="20" spans="1:6" x14ac:dyDescent="0.25">
      <c r="A20" s="29">
        <v>18</v>
      </c>
      <c r="B20" s="69" t="s">
        <v>44</v>
      </c>
      <c r="C20" s="20">
        <f>VLOOKUP(B20,[2]Трансп!A$2:CP$32,87,FALSE)/1000</f>
        <v>240.15</v>
      </c>
      <c r="D20" s="20">
        <f>VLOOKUP(B20,[2]Трансп!A$2:CP$32,85,FALSE)/1000</f>
        <v>109.4</v>
      </c>
      <c r="E20" s="30">
        <f t="shared" si="0"/>
        <v>119.51553930530166</v>
      </c>
      <c r="F20" s="63">
        <v>7704472891</v>
      </c>
    </row>
    <row r="21" spans="1:6" x14ac:dyDescent="0.25">
      <c r="A21" s="29">
        <v>19</v>
      </c>
      <c r="B21" s="69" t="s">
        <v>25</v>
      </c>
      <c r="C21" s="20">
        <f>VLOOKUP(B21,[1]Трансп!A$3:U$39,20,FALSE)/1000</f>
        <v>230.98</v>
      </c>
      <c r="D21" s="20">
        <f>VLOOKUP(B21,[1]Трансп!A$3:U$39,18,FALSE)/1000</f>
        <v>226.30699999999999</v>
      </c>
      <c r="E21" s="30">
        <f t="shared" si="0"/>
        <v>2.0648941482146022</v>
      </c>
      <c r="F21" s="63">
        <v>5753990187</v>
      </c>
    </row>
    <row r="22" spans="1:6" x14ac:dyDescent="0.25">
      <c r="A22" s="29">
        <v>20</v>
      </c>
      <c r="B22" s="69" t="s">
        <v>21</v>
      </c>
      <c r="C22" s="20">
        <f>VLOOKUP(B22,[1]Трансп!A$3:U$39,20,FALSE)/1000</f>
        <v>230.785</v>
      </c>
      <c r="D22" s="20">
        <f>VLOOKUP(B22,[1]Трансп!A$3:U$39,18,FALSE)/1000</f>
        <v>201.50899999999999</v>
      </c>
      <c r="E22" s="30">
        <f t="shared" si="0"/>
        <v>14.528383347642038</v>
      </c>
      <c r="F22" s="63">
        <v>4824047100</v>
      </c>
    </row>
    <row r="23" spans="1:6" x14ac:dyDescent="0.25">
      <c r="A23" s="29">
        <v>21</v>
      </c>
      <c r="B23" s="69" t="s">
        <v>9</v>
      </c>
      <c r="C23" s="20">
        <f>VLOOKUP(B23,[1]Трансп!A$3:U$39,20,FALSE)/1000</f>
        <v>223.85599999999999</v>
      </c>
      <c r="D23" s="20">
        <f>VLOOKUP(B23,[1]Трансп!A$3:U$39,18,FALSE)/1000</f>
        <v>127.176</v>
      </c>
      <c r="E23" s="30">
        <f t="shared" si="0"/>
        <v>76.020632823803226</v>
      </c>
      <c r="F23" s="63">
        <v>275066729</v>
      </c>
    </row>
    <row r="24" spans="1:6" x14ac:dyDescent="0.25">
      <c r="A24" s="29">
        <v>22</v>
      </c>
      <c r="B24" s="69" t="s">
        <v>37</v>
      </c>
      <c r="C24" s="20">
        <f>VLOOKUP(B24,[1]Трансп!A$3:U$39,20,FALSE)/1000</f>
        <v>222.494</v>
      </c>
      <c r="D24" s="20">
        <f>VLOOKUP(B24,[1]Трансп!A$3:U$39,18,FALSE)/1000</f>
        <v>151.55799999999999</v>
      </c>
      <c r="E24" s="30">
        <f t="shared" si="0"/>
        <v>46.804523680703113</v>
      </c>
      <c r="F24" s="63">
        <v>2721052016</v>
      </c>
    </row>
    <row r="25" spans="1:6" x14ac:dyDescent="0.25">
      <c r="A25" s="29">
        <v>23</v>
      </c>
      <c r="B25" s="69" t="s">
        <v>15</v>
      </c>
      <c r="C25" s="20">
        <f>VLOOKUP(B25,[1]Трансп!A$3:U$39,20,FALSE)/1000</f>
        <v>216.18396999999999</v>
      </c>
      <c r="D25" s="20">
        <f>VLOOKUP(B25,[1]Трансп!A$3:U$39,18,FALSE)/1000</f>
        <v>216.62700000000001</v>
      </c>
      <c r="E25" s="30">
        <f t="shared" si="0"/>
        <v>-0.20451282619434741</v>
      </c>
      <c r="F25" s="63">
        <v>4207043015</v>
      </c>
    </row>
    <row r="26" spans="1:6" x14ac:dyDescent="0.25">
      <c r="A26" s="29">
        <v>24</v>
      </c>
      <c r="B26" s="69" t="s">
        <v>41</v>
      </c>
      <c r="C26" s="20">
        <f>VLOOKUP(B26,[1]Трансп!A$3:U$39,20,FALSE)/1000</f>
        <v>215.945866</v>
      </c>
      <c r="D26" s="20">
        <f>VLOOKUP(B26,[1]Трансп!A$3:U$39,18,FALSE)/1000</f>
        <v>118.44</v>
      </c>
      <c r="E26" s="30">
        <f t="shared" si="0"/>
        <v>82.32511482607228</v>
      </c>
      <c r="F26" s="63">
        <v>7604192192</v>
      </c>
    </row>
    <row r="27" spans="1:6" x14ac:dyDescent="0.25">
      <c r="A27" s="29">
        <v>25</v>
      </c>
      <c r="B27" s="69" t="s">
        <v>28</v>
      </c>
      <c r="C27" s="20">
        <f>VLOOKUP(B27,[1]Трансп!A$3:U$39,20,FALSE)/1000</f>
        <v>214.49299999999999</v>
      </c>
      <c r="D27" s="20">
        <f>VLOOKUP(B27,[1]Трансп!A$3:U$39,18,FALSE)/1000</f>
        <v>95.495000000000005</v>
      </c>
      <c r="E27" s="30">
        <f t="shared" si="0"/>
        <v>124.61175977799886</v>
      </c>
      <c r="F27" s="63">
        <v>6450939546</v>
      </c>
    </row>
    <row r="28" spans="1:6" x14ac:dyDescent="0.25">
      <c r="A28" s="29">
        <v>26</v>
      </c>
      <c r="B28" s="69" t="s">
        <v>7</v>
      </c>
      <c r="C28" s="20">
        <f>VLOOKUP(B28,[1]Трансп!A$3:U$39,20,FALSE)/1000</f>
        <v>178.16</v>
      </c>
      <c r="D28" s="20">
        <f>VLOOKUP(B28,[1]Трансп!A$3:U$39,18,FALSE)/1000</f>
        <v>104.26528900000001</v>
      </c>
      <c r="E28" s="30">
        <f t="shared" si="0"/>
        <v>70.871822932366285</v>
      </c>
      <c r="F28" s="63">
        <v>2901204067</v>
      </c>
    </row>
    <row r="29" spans="1:6" x14ac:dyDescent="0.25">
      <c r="A29" s="29">
        <v>27</v>
      </c>
      <c r="B29" s="69" t="s">
        <v>22</v>
      </c>
      <c r="C29" s="20">
        <f>VLOOKUP(B29,[1]Трансп!A$3:U$39,20,FALSE)/1000</f>
        <v>172.09200000000001</v>
      </c>
      <c r="D29" s="20">
        <f>VLOOKUP(B29,[1]Трансп!A$3:U$39,18,FALSE)/1000</f>
        <v>164.35300000000001</v>
      </c>
      <c r="E29" s="30">
        <f t="shared" si="0"/>
        <v>4.7087671049509394</v>
      </c>
      <c r="F29" s="63" t="s">
        <v>152</v>
      </c>
    </row>
    <row r="30" spans="1:6" x14ac:dyDescent="0.25">
      <c r="A30" s="29">
        <v>28</v>
      </c>
      <c r="B30" s="69" t="s">
        <v>26</v>
      </c>
      <c r="C30" s="20">
        <f>VLOOKUP(B30,[1]Трансп!A$3:U$39,20,FALSE)/1000</f>
        <v>167.822</v>
      </c>
      <c r="D30" s="20">
        <f>VLOOKUP(B30,[1]Трансп!A$3:U$39,18,FALSE)/1000</f>
        <v>233.637</v>
      </c>
      <c r="E30" s="30">
        <f t="shared" si="0"/>
        <v>-28.169767630983099</v>
      </c>
      <c r="F30" s="63">
        <v>5835073174</v>
      </c>
    </row>
    <row r="31" spans="1:6" x14ac:dyDescent="0.25">
      <c r="A31" s="29">
        <v>29</v>
      </c>
      <c r="B31" s="69" t="s">
        <v>20</v>
      </c>
      <c r="C31" s="20">
        <f>VLOOKUP(B31,[1]Трансп!A$3:U$39,20,FALSE)/1000</f>
        <v>160.28200000000001</v>
      </c>
      <c r="D31" s="20">
        <f>VLOOKUP(B31,[1]Трансп!A$3:U$39,18,FALSE)/1000</f>
        <v>76.936999999999998</v>
      </c>
      <c r="E31" s="30">
        <f t="shared" si="0"/>
        <v>108.32889247046285</v>
      </c>
      <c r="F31" s="63">
        <v>4632066518</v>
      </c>
    </row>
    <row r="32" spans="1:6" x14ac:dyDescent="0.25">
      <c r="A32" s="29">
        <v>30</v>
      </c>
      <c r="B32" s="69" t="s">
        <v>8</v>
      </c>
      <c r="C32" s="20">
        <f>VLOOKUP(B32,[1]Трансп!A$3:U$39,20,FALSE)/1000</f>
        <v>160.10400000000001</v>
      </c>
      <c r="D32" s="20">
        <f>VLOOKUP(B32,[1]Трансп!A$3:U$39,18,FALSE)/1000</f>
        <v>116.414</v>
      </c>
      <c r="E32" s="30">
        <f t="shared" si="0"/>
        <v>37.529850361640356</v>
      </c>
      <c r="F32" s="63">
        <v>3015028318</v>
      </c>
    </row>
    <row r="33" spans="1:6" x14ac:dyDescent="0.25">
      <c r="A33" s="29">
        <v>31</v>
      </c>
      <c r="B33" s="69" t="s">
        <v>29</v>
      </c>
      <c r="C33" s="20">
        <f>VLOOKUP(B33,[1]Трансп!A$3:U$39,20,FALSE)/1000</f>
        <v>124.093</v>
      </c>
      <c r="D33" s="20">
        <f>VLOOKUP(B33,[1]Трансп!A$3:U$39,18,FALSE)/1000</f>
        <v>145.732</v>
      </c>
      <c r="E33" s="30">
        <f t="shared" si="0"/>
        <v>-14.848489007218724</v>
      </c>
      <c r="F33" s="63">
        <v>1435296482</v>
      </c>
    </row>
    <row r="34" spans="1:6" x14ac:dyDescent="0.25">
      <c r="A34" s="29">
        <v>32</v>
      </c>
      <c r="B34" s="69" t="s">
        <v>53</v>
      </c>
      <c r="C34" s="20">
        <f>VLOOKUP(B34,[2]Трансп!A$2:CP$32,87,FALSE)/1000</f>
        <v>113.435</v>
      </c>
      <c r="D34" s="20">
        <f>VLOOKUP(B34,[2]Трансп!A$2:CP$32,85,FALSE)/1000</f>
        <v>71.678005150000004</v>
      </c>
      <c r="E34" s="30">
        <f t="shared" si="0"/>
        <v>58.256357389711752</v>
      </c>
      <c r="F34" s="63" t="s">
        <v>149</v>
      </c>
    </row>
    <row r="35" spans="1:6" x14ac:dyDescent="0.25">
      <c r="A35" s="29">
        <v>33</v>
      </c>
      <c r="B35" s="69" t="s">
        <v>6</v>
      </c>
      <c r="C35" s="20">
        <f>VLOOKUP(B35,[1]Трансп!A$3:U$39,20,FALSE)/1000</f>
        <v>90.51</v>
      </c>
      <c r="D35" s="20">
        <f>VLOOKUP(B35,[1]Трансп!A$3:U$39,18,FALSE)/1000</f>
        <v>109.628</v>
      </c>
      <c r="E35" s="30">
        <f t="shared" si="0"/>
        <v>-17.438975444229577</v>
      </c>
      <c r="F35" s="63">
        <v>2801249882</v>
      </c>
    </row>
    <row r="36" spans="1:6" x14ac:dyDescent="0.25">
      <c r="A36" s="29">
        <v>34</v>
      </c>
      <c r="B36" s="69" t="s">
        <v>99</v>
      </c>
      <c r="C36" s="20">
        <f>VLOOKUP(B36,[1]Трансп!A$3:U$39,20,FALSE)/1000</f>
        <v>89.487049999999996</v>
      </c>
      <c r="D36" s="20">
        <v>0</v>
      </c>
      <c r="E36" s="30" t="s">
        <v>100</v>
      </c>
      <c r="F36" s="63" t="s">
        <v>154</v>
      </c>
    </row>
    <row r="37" spans="1:6" x14ac:dyDescent="0.25">
      <c r="A37" s="29">
        <v>35</v>
      </c>
      <c r="B37" s="69" t="s">
        <v>19</v>
      </c>
      <c r="C37" s="20">
        <f>VLOOKUP(B37,[1]Трансп!A$3:U$39,20,FALSE)/1000</f>
        <v>56.040999999999997</v>
      </c>
      <c r="D37" s="20">
        <f>VLOOKUP(B37,[1]Трансп!A$3:U$39,18,FALSE)/1000</f>
        <v>101.48</v>
      </c>
      <c r="E37" s="30">
        <f t="shared" si="0"/>
        <v>-44.776310603074499</v>
      </c>
      <c r="F37" s="63">
        <v>4501153372</v>
      </c>
    </row>
    <row r="38" spans="1:6" x14ac:dyDescent="0.25">
      <c r="A38" s="29">
        <v>36</v>
      </c>
      <c r="B38" s="69" t="s">
        <v>47</v>
      </c>
      <c r="C38" s="20">
        <f>VLOOKUP(B38,[2]Трансп!A$2:CP$32,87,FALSE)/1000</f>
        <v>51.435000000000002</v>
      </c>
      <c r="D38" s="20">
        <f>VLOOKUP(B38,[2]Трансп!A$2:CP$32,85,FALSE)/1000</f>
        <v>36.866</v>
      </c>
      <c r="E38" s="30">
        <f t="shared" si="0"/>
        <v>39.518797808278627</v>
      </c>
      <c r="F38" s="63">
        <v>5407487242</v>
      </c>
    </row>
    <row r="39" spans="1:6" x14ac:dyDescent="0.25">
      <c r="A39" s="29">
        <v>37</v>
      </c>
      <c r="B39" s="69" t="s">
        <v>12</v>
      </c>
      <c r="C39" s="20">
        <f>VLOOKUP(B39,[1]Трансп!A$3:U$39,20,FALSE)/1000</f>
        <v>50.48</v>
      </c>
      <c r="D39" s="20">
        <f>VLOOKUP(B39,[1]Трансп!A$3:U$39,18,FALSE)/1000</f>
        <v>47.75</v>
      </c>
      <c r="E39" s="30">
        <f t="shared" si="0"/>
        <v>5.7172774869109988</v>
      </c>
      <c r="F39" s="63">
        <v>7536165141</v>
      </c>
    </row>
    <row r="40" spans="1:6" x14ac:dyDescent="0.25">
      <c r="A40" s="29">
        <v>38</v>
      </c>
      <c r="B40" s="69" t="s">
        <v>33</v>
      </c>
      <c r="C40" s="20">
        <f>VLOOKUP(B40,[1]Трансп!A$3:U$39,20,FALSE)/1000</f>
        <v>40.270000000000003</v>
      </c>
      <c r="D40" s="20">
        <f>VLOOKUP(B40,[1]Трансп!A$3:U$39,18,FALSE)/1000</f>
        <v>42.13</v>
      </c>
      <c r="E40" s="30">
        <f t="shared" si="0"/>
        <v>-4.4149062425824841</v>
      </c>
      <c r="F40" s="63">
        <v>6154035727</v>
      </c>
    </row>
    <row r="41" spans="1:6" x14ac:dyDescent="0.25">
      <c r="A41" s="29">
        <v>39</v>
      </c>
      <c r="B41" s="69" t="s">
        <v>11</v>
      </c>
      <c r="C41" s="20">
        <f>VLOOKUP(B41,[1]Трансп!A$3:U$39,20,FALSE)/1000</f>
        <v>37.381999999999998</v>
      </c>
      <c r="D41" s="20">
        <f>VLOOKUP(B41,[1]Трансп!A$3:U$39,18,FALSE)/1000</f>
        <v>34.259</v>
      </c>
      <c r="E41" s="30">
        <f t="shared" si="0"/>
        <v>9.1158527686155288</v>
      </c>
      <c r="F41" s="63">
        <v>7901550330</v>
      </c>
    </row>
    <row r="42" spans="1:6" x14ac:dyDescent="0.25">
      <c r="A42" s="29">
        <v>40</v>
      </c>
      <c r="B42" s="69" t="s">
        <v>40</v>
      </c>
      <c r="C42" s="20">
        <f>VLOOKUP(B42,[1]Трансп!A$3:U$39,20,FALSE)/1000</f>
        <v>34.62059</v>
      </c>
      <c r="D42" s="20">
        <f>VLOOKUP(B42,[1]Трансп!A$3:U$39,18,FALSE)/1000</f>
        <v>25.484999999999999</v>
      </c>
      <c r="E42" s="30">
        <f t="shared" si="0"/>
        <v>35.846929566411625</v>
      </c>
      <c r="F42" s="63">
        <v>1435296482</v>
      </c>
    </row>
    <row r="43" spans="1:6" x14ac:dyDescent="0.25">
      <c r="A43" s="29">
        <v>41</v>
      </c>
      <c r="B43" s="69" t="s">
        <v>42</v>
      </c>
      <c r="C43" s="20">
        <f>VLOOKUP(B43,[2]Трансп!A$2:CP$32,87,FALSE)/1000</f>
        <v>31.34</v>
      </c>
      <c r="D43" s="20">
        <f>VLOOKUP(B43,[2]Трансп!A$2:CP$32,85,FALSE)/1000</f>
        <v>40</v>
      </c>
      <c r="E43" s="30">
        <f t="shared" si="0"/>
        <v>-21.650000000000002</v>
      </c>
      <c r="F43" s="63" t="s">
        <v>148</v>
      </c>
    </row>
    <row r="44" spans="1:6" x14ac:dyDescent="0.25">
      <c r="A44" s="29">
        <v>42</v>
      </c>
      <c r="B44" s="69" t="s">
        <v>36</v>
      </c>
      <c r="C44" s="20">
        <f>VLOOKUP(B44,[1]Трансп!A$3:U$39,20,FALSE)/1000</f>
        <v>23.593</v>
      </c>
      <c r="D44" s="20">
        <f>VLOOKUP(B44,[1]Трансп!A$3:U$39,18,FALSE)/1000</f>
        <v>21.579000000000001</v>
      </c>
      <c r="E44" s="30">
        <f t="shared" si="0"/>
        <v>9.3331479679317866</v>
      </c>
      <c r="F44" s="63">
        <v>3818029140</v>
      </c>
    </row>
    <row r="45" spans="1:6" x14ac:dyDescent="0.25">
      <c r="A45" s="29">
        <v>43</v>
      </c>
      <c r="B45" s="69" t="s">
        <v>62</v>
      </c>
      <c r="C45" s="88">
        <f>VLOOKUP(B45,[2]Трансп!A$2:CP$32,87,FALSE)/1000</f>
        <v>0.2</v>
      </c>
      <c r="D45" s="88">
        <f>VLOOKUP(B45,[2]Трансп!A$2:CP$32,85,FALSE)/1000</f>
        <v>0.12</v>
      </c>
      <c r="E45" s="30">
        <f t="shared" si="0"/>
        <v>66.666666666666671</v>
      </c>
      <c r="F45" s="63">
        <v>7838492459</v>
      </c>
    </row>
    <row r="46" spans="1:6" x14ac:dyDescent="0.25">
      <c r="A46" s="29">
        <v>44</v>
      </c>
      <c r="B46" s="69" t="s">
        <v>51</v>
      </c>
      <c r="C46" s="20">
        <f>VLOOKUP(B46,[2]Трансп!A$2:CP$32,87,FALSE)/1000</f>
        <v>0</v>
      </c>
      <c r="D46" s="20">
        <f>VLOOKUP(B46,[2]Трансп!A$2:CP$32,85,FALSE)/1000</f>
        <v>5</v>
      </c>
      <c r="E46" s="30">
        <f t="shared" si="0"/>
        <v>-100</v>
      </c>
      <c r="F46" s="63">
        <v>7704493556</v>
      </c>
    </row>
  </sheetData>
  <sortState xmlns:xlrd2="http://schemas.microsoft.com/office/spreadsheetml/2017/richdata2" ref="A3:E46">
    <sortCondition descending="1" ref="C3:C46"/>
  </sortState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D611-AE76-4A1A-BCD6-172095B64408}">
  <dimension ref="A1:N32"/>
  <sheetViews>
    <sheetView workbookViewId="0">
      <selection activeCell="H22" sqref="H22"/>
    </sheetView>
  </sheetViews>
  <sheetFormatPr defaultRowHeight="15" x14ac:dyDescent="0.25"/>
  <cols>
    <col min="2" max="2" width="95.7109375" customWidth="1"/>
  </cols>
  <sheetData>
    <row r="1" spans="1:14" x14ac:dyDescent="0.25">
      <c r="A1" s="58" t="s">
        <v>130</v>
      </c>
      <c r="I1" s="40"/>
      <c r="J1" s="40"/>
      <c r="K1" s="40"/>
      <c r="L1" s="40"/>
      <c r="M1" s="40"/>
      <c r="N1" s="40"/>
    </row>
    <row r="2" spans="1:14" x14ac:dyDescent="0.25">
      <c r="A2" s="113" t="s">
        <v>102</v>
      </c>
      <c r="B2" s="113" t="s">
        <v>0</v>
      </c>
      <c r="C2" s="114" t="s">
        <v>134</v>
      </c>
      <c r="D2" s="114"/>
      <c r="E2" s="114" t="s">
        <v>135</v>
      </c>
      <c r="F2" s="114"/>
      <c r="G2" s="111" t="s">
        <v>78</v>
      </c>
      <c r="H2" s="111" t="s">
        <v>131</v>
      </c>
    </row>
    <row r="3" spans="1:14" ht="67.5" x14ac:dyDescent="0.25">
      <c r="A3" s="113"/>
      <c r="B3" s="113"/>
      <c r="C3" s="59" t="s">
        <v>132</v>
      </c>
      <c r="D3" s="59" t="s">
        <v>133</v>
      </c>
      <c r="E3" s="59" t="s">
        <v>132</v>
      </c>
      <c r="F3" s="59" t="s">
        <v>133</v>
      </c>
      <c r="G3" s="112"/>
      <c r="H3" s="112"/>
    </row>
    <row r="4" spans="1:14" x14ac:dyDescent="0.25">
      <c r="A4" s="29">
        <v>1</v>
      </c>
      <c r="B4" s="23" t="s">
        <v>42</v>
      </c>
      <c r="C4" s="20">
        <f>VLOOKUP(B4,[2]Трансп!A$2:CP$32,67,FALSE)/1000</f>
        <v>0</v>
      </c>
      <c r="D4" s="20">
        <f>VLOOKUP(B4,[2]Трансп!A$2:CP$32,71,FALSE)/1000</f>
        <v>0</v>
      </c>
      <c r="E4" s="20">
        <f>VLOOKUP(B4,[2]Трансп!A$2:CP$32,65,FALSE)/1000</f>
        <v>0</v>
      </c>
      <c r="F4" s="20">
        <f>VLOOKUP(B4,[2]Трансп!A$2:CP$32,69,FALSE)/1000</f>
        <v>0</v>
      </c>
      <c r="G4" s="20"/>
      <c r="H4" s="20"/>
    </row>
    <row r="5" spans="1:14" x14ac:dyDescent="0.25">
      <c r="A5" s="29">
        <v>2</v>
      </c>
      <c r="B5" s="23" t="s">
        <v>43</v>
      </c>
      <c r="C5" s="20">
        <f>VLOOKUP(B5,[2]Трансп!A$2:CP$32,67,FALSE)/1000</f>
        <v>0</v>
      </c>
      <c r="D5" s="20">
        <f>VLOOKUP(B5,[2]Трансп!A$2:CP$32,71,FALSE)/1000</f>
        <v>0</v>
      </c>
      <c r="E5" s="20">
        <f>VLOOKUP(B5,[2]Трансп!A$2:CP$32,65,FALSE)/1000</f>
        <v>0</v>
      </c>
      <c r="F5" s="20">
        <f>VLOOKUP(B5,[2]Трансп!A$2:CP$32,69,FALSE)/1000</f>
        <v>0</v>
      </c>
      <c r="G5" s="20"/>
      <c r="H5" s="20"/>
    </row>
    <row r="6" spans="1:14" x14ac:dyDescent="0.25">
      <c r="B6" t="s">
        <v>44</v>
      </c>
      <c r="C6" s="20">
        <f>VLOOKUP(B6,[2]Трансп!A$2:CP$32,67,FALSE)/1000</f>
        <v>0</v>
      </c>
      <c r="D6" s="20">
        <f>VLOOKUP(B6,[2]Трансп!A$2:CP$32,71,FALSE)/1000</f>
        <v>0</v>
      </c>
      <c r="E6" s="20">
        <f>VLOOKUP(B6,[2]Трансп!A$2:CP$32,65,FALSE)/1000</f>
        <v>0</v>
      </c>
      <c r="F6" s="20">
        <f>VLOOKUP(B6,[2]Трансп!A$2:CP$32,69,FALSE)/1000</f>
        <v>0</v>
      </c>
    </row>
    <row r="7" spans="1:14" x14ac:dyDescent="0.25">
      <c r="B7" t="s">
        <v>45</v>
      </c>
      <c r="C7" s="20">
        <f>VLOOKUP(B7,[2]Трансп!A$2:CP$32,67,FALSE)/1000</f>
        <v>0</v>
      </c>
      <c r="D7" s="20">
        <f>VLOOKUP(B7,[2]Трансп!A$2:CP$32,71,FALSE)/1000</f>
        <v>0</v>
      </c>
      <c r="E7" s="20">
        <f>VLOOKUP(B7,[2]Трансп!A$2:CP$32,65,FALSE)/1000</f>
        <v>0</v>
      </c>
      <c r="F7" s="20">
        <f>VLOOKUP(B7,[2]Трансп!A$2:CP$32,69,FALSE)/1000</f>
        <v>0</v>
      </c>
    </row>
    <row r="8" spans="1:14" x14ac:dyDescent="0.25">
      <c r="B8" t="s">
        <v>46</v>
      </c>
      <c r="C8" s="20">
        <f>VLOOKUP(B8,[2]Трансп!A$2:CP$32,67,FALSE)/1000</f>
        <v>0</v>
      </c>
      <c r="D8" s="20">
        <f>VLOOKUP(B8,[2]Трансп!A$2:CP$32,71,FALSE)/1000</f>
        <v>0</v>
      </c>
      <c r="E8" s="20">
        <f>VLOOKUP(B8,[2]Трансп!A$2:CP$32,65,FALSE)/1000</f>
        <v>0</v>
      </c>
      <c r="F8" s="20">
        <f>VLOOKUP(B8,[2]Трансп!A$2:CP$32,69,FALSE)/1000</f>
        <v>0</v>
      </c>
    </row>
    <row r="9" spans="1:14" x14ac:dyDescent="0.25">
      <c r="B9" t="s">
        <v>47</v>
      </c>
      <c r="C9" s="20">
        <f>VLOOKUP(B9,[2]Трансп!A$2:CP$32,67,FALSE)/1000</f>
        <v>0</v>
      </c>
      <c r="D9" s="20">
        <f>VLOOKUP(B9,[2]Трансп!A$2:CP$32,71,FALSE)/1000</f>
        <v>0</v>
      </c>
      <c r="E9" s="20">
        <f>VLOOKUP(B9,[2]Трансп!A$2:CP$32,65,FALSE)/1000</f>
        <v>0</v>
      </c>
      <c r="F9" s="20">
        <f>VLOOKUP(B9,[2]Трансп!A$2:CP$32,69,FALSE)/1000</f>
        <v>0</v>
      </c>
    </row>
    <row r="10" spans="1:14" x14ac:dyDescent="0.25">
      <c r="B10" t="s">
        <v>48</v>
      </c>
      <c r="C10" s="20">
        <f>VLOOKUP(B10,[2]Трансп!A$2:CP$32,67,FALSE)/1000</f>
        <v>9.7000000000000003E-2</v>
      </c>
      <c r="D10" s="20">
        <f>VLOOKUP(B10,[2]Трансп!A$2:CP$32,71,FALSE)/1000</f>
        <v>0</v>
      </c>
      <c r="E10" s="20">
        <f>VLOOKUP(B10,[2]Трансп!A$2:CP$32,65,FALSE)/1000</f>
        <v>27.736999999999998</v>
      </c>
      <c r="F10" s="20">
        <f>VLOOKUP(B10,[2]Трансп!A$2:CP$32,69,FALSE)/1000</f>
        <v>0</v>
      </c>
    </row>
    <row r="11" spans="1:14" x14ac:dyDescent="0.25">
      <c r="B11" t="s">
        <v>49</v>
      </c>
      <c r="C11" s="20">
        <f>VLOOKUP(B11,[2]Трансп!A$2:CP$32,67,FALSE)/1000</f>
        <v>0</v>
      </c>
      <c r="D11" s="20">
        <f>VLOOKUP(B11,[2]Трансп!A$2:CP$32,71,FALSE)/1000</f>
        <v>0</v>
      </c>
      <c r="E11" s="20">
        <f>VLOOKUP(B11,[2]Трансп!A$2:CP$32,65,FALSE)/1000</f>
        <v>0</v>
      </c>
      <c r="F11" s="20">
        <f>VLOOKUP(B11,[2]Трансп!A$2:CP$32,69,FALSE)/1000</f>
        <v>0</v>
      </c>
    </row>
    <row r="12" spans="1:14" x14ac:dyDescent="0.25">
      <c r="B12" t="s">
        <v>50</v>
      </c>
      <c r="C12" s="20">
        <f>VLOOKUP(B12,[2]Трансп!A$2:CP$32,67,FALSE)/1000</f>
        <v>0</v>
      </c>
      <c r="D12" s="20">
        <f>VLOOKUP(B12,[2]Трансп!A$2:CP$32,71,FALSE)/1000</f>
        <v>0</v>
      </c>
      <c r="E12" s="20">
        <f>VLOOKUP(B12,[2]Трансп!A$2:CP$32,65,FALSE)/1000</f>
        <v>0</v>
      </c>
      <c r="F12" s="20">
        <f>VLOOKUP(B12,[2]Трансп!A$2:CP$32,69,FALSE)/1000</f>
        <v>0</v>
      </c>
    </row>
    <row r="13" spans="1:14" x14ac:dyDescent="0.25">
      <c r="B13" t="s">
        <v>51</v>
      </c>
      <c r="C13" s="20">
        <f>VLOOKUP(B13,[2]Трансп!A$2:CP$32,67,FALSE)/1000</f>
        <v>0</v>
      </c>
      <c r="D13" s="20">
        <f>VLOOKUP(B13,[2]Трансп!A$2:CP$32,71,FALSE)/1000</f>
        <v>0</v>
      </c>
      <c r="E13" s="20">
        <f>VLOOKUP(B13,[2]Трансп!A$2:CP$32,65,FALSE)/1000</f>
        <v>0</v>
      </c>
      <c r="F13" s="20">
        <f>VLOOKUP(B13,[2]Трансп!A$2:CP$32,69,FALSE)/1000</f>
        <v>0</v>
      </c>
    </row>
    <row r="14" spans="1:14" x14ac:dyDescent="0.25">
      <c r="B14" t="s">
        <v>52</v>
      </c>
      <c r="C14" s="20">
        <f>VLOOKUP(B14,[2]Трансп!A$2:CP$32,67,FALSE)/1000</f>
        <v>0</v>
      </c>
      <c r="D14" s="20">
        <f>VLOOKUP(B14,[2]Трансп!A$2:CP$32,71,FALSE)/1000</f>
        <v>0</v>
      </c>
      <c r="E14" s="20">
        <f>VLOOKUP(B14,[2]Трансп!A$2:CP$32,65,FALSE)/1000</f>
        <v>0</v>
      </c>
      <c r="F14" s="20">
        <f>VLOOKUP(B14,[2]Трансп!A$2:CP$32,69,FALSE)/1000</f>
        <v>0</v>
      </c>
    </row>
    <row r="15" spans="1:14" x14ac:dyDescent="0.25">
      <c r="B15" t="s">
        <v>53</v>
      </c>
      <c r="C15" s="20">
        <f>VLOOKUP(B15,[2]Трансп!A$2:CP$32,67,FALSE)/1000</f>
        <v>0</v>
      </c>
      <c r="D15" s="20">
        <f>VLOOKUP(B15,[2]Трансп!A$2:CP$32,71,FALSE)/1000</f>
        <v>0</v>
      </c>
      <c r="E15" s="20">
        <f>VLOOKUP(B15,[2]Трансп!A$2:CP$32,65,FALSE)/1000</f>
        <v>0</v>
      </c>
      <c r="F15" s="20">
        <f>VLOOKUP(B15,[2]Трансп!A$2:CP$32,69,FALSE)/1000</f>
        <v>0</v>
      </c>
    </row>
    <row r="16" spans="1:14" x14ac:dyDescent="0.25">
      <c r="B16" t="s">
        <v>54</v>
      </c>
      <c r="C16" s="20">
        <f>VLOOKUP(B16,[2]Трансп!A$2:CP$32,67,FALSE)/1000</f>
        <v>0</v>
      </c>
      <c r="D16" s="20">
        <f>VLOOKUP(B16,[2]Трансп!A$2:CP$32,71,FALSE)/1000</f>
        <v>0</v>
      </c>
      <c r="E16" s="20">
        <f>VLOOKUP(B16,[2]Трансп!A$2:CP$32,65,FALSE)/1000</f>
        <v>0</v>
      </c>
      <c r="F16" s="20">
        <f>VLOOKUP(B16,[2]Трансп!A$2:CP$32,69,FALSE)/1000</f>
        <v>0</v>
      </c>
    </row>
    <row r="17" spans="2:6" x14ac:dyDescent="0.25">
      <c r="B17" t="s">
        <v>55</v>
      </c>
      <c r="C17" s="20">
        <f>VLOOKUP(B17,[2]Трансп!A$2:CP$32,67,FALSE)/1000</f>
        <v>0</v>
      </c>
      <c r="D17" s="20">
        <f>VLOOKUP(B17,[2]Трансп!A$2:CP$32,71,FALSE)/1000</f>
        <v>0</v>
      </c>
      <c r="E17" s="20">
        <f>VLOOKUP(B17,[2]Трансп!A$2:CP$32,65,FALSE)/1000</f>
        <v>0</v>
      </c>
      <c r="F17" s="20">
        <f>VLOOKUP(B17,[2]Трансп!A$2:CP$32,69,FALSE)/1000</f>
        <v>0</v>
      </c>
    </row>
    <row r="18" spans="2:6" x14ac:dyDescent="0.25">
      <c r="B18" t="s">
        <v>56</v>
      </c>
      <c r="C18" s="20">
        <f>VLOOKUP(B18,[2]Трансп!A$2:CP$32,67,FALSE)/1000</f>
        <v>0</v>
      </c>
      <c r="D18" s="20">
        <f>VLOOKUP(B18,[2]Трансп!A$2:CP$32,71,FALSE)/1000</f>
        <v>0</v>
      </c>
      <c r="E18" s="20">
        <f>VLOOKUP(B18,[2]Трансп!A$2:CP$32,65,FALSE)/1000</f>
        <v>0</v>
      </c>
      <c r="F18" s="20">
        <f>VLOOKUP(B18,[2]Трансп!A$2:CP$32,69,FALSE)/1000</f>
        <v>0</v>
      </c>
    </row>
    <row r="19" spans="2:6" x14ac:dyDescent="0.25">
      <c r="B19" t="s">
        <v>57</v>
      </c>
      <c r="C19" s="20">
        <f>VLOOKUP(B19,[2]Трансп!A$2:CP$32,67,FALSE)/1000</f>
        <v>0</v>
      </c>
      <c r="D19" s="20">
        <f>VLOOKUP(B19,[2]Трансп!A$2:CP$32,71,FALSE)/1000</f>
        <v>0</v>
      </c>
      <c r="E19" s="20">
        <f>VLOOKUP(B19,[2]Трансп!A$2:CP$32,65,FALSE)/1000</f>
        <v>0</v>
      </c>
      <c r="F19" s="20">
        <f>VLOOKUP(B19,[2]Трансп!A$2:CP$32,69,FALSE)/1000</f>
        <v>0</v>
      </c>
    </row>
    <row r="20" spans="2:6" x14ac:dyDescent="0.25">
      <c r="B20" t="s">
        <v>58</v>
      </c>
      <c r="C20" s="20">
        <f>VLOOKUP(B20,[2]Трансп!A$2:CP$32,67,FALSE)/1000</f>
        <v>0</v>
      </c>
      <c r="D20" s="20">
        <f>VLOOKUP(B20,[2]Трансп!A$2:CP$32,71,FALSE)/1000</f>
        <v>0</v>
      </c>
      <c r="E20" s="20">
        <f>VLOOKUP(B20,[2]Трансп!A$2:CP$32,65,FALSE)/1000</f>
        <v>0</v>
      </c>
      <c r="F20" s="20">
        <f>VLOOKUP(B20,[2]Трансп!A$2:CP$32,69,FALSE)/1000</f>
        <v>0</v>
      </c>
    </row>
    <row r="21" spans="2:6" x14ac:dyDescent="0.25">
      <c r="B21" t="s">
        <v>59</v>
      </c>
      <c r="C21" s="20">
        <f>VLOOKUP(B21,[2]Трансп!A$2:CP$32,67,FALSE)/1000</f>
        <v>0</v>
      </c>
      <c r="D21" s="20">
        <f>VLOOKUP(B21,[2]Трансп!A$2:CP$32,71,FALSE)/1000</f>
        <v>0</v>
      </c>
      <c r="E21" s="20">
        <f>VLOOKUP(B21,[2]Трансп!A$2:CP$32,65,FALSE)/1000</f>
        <v>0</v>
      </c>
      <c r="F21" s="20">
        <f>VLOOKUP(B21,[2]Трансп!A$2:CP$32,69,FALSE)/1000</f>
        <v>0</v>
      </c>
    </row>
    <row r="22" spans="2:6" x14ac:dyDescent="0.25">
      <c r="B22" t="s">
        <v>60</v>
      </c>
      <c r="C22" s="20">
        <f>VLOOKUP(B22,[2]Трансп!A$2:CP$32,67,FALSE)/1000</f>
        <v>0</v>
      </c>
      <c r="D22" s="20">
        <f>VLOOKUP(B22,[2]Трансп!A$2:CP$32,71,FALSE)/1000</f>
        <v>0</v>
      </c>
      <c r="E22" s="20">
        <f>VLOOKUP(B22,[2]Трансп!A$2:CP$32,65,FALSE)/1000</f>
        <v>0</v>
      </c>
      <c r="F22" s="20">
        <f>VLOOKUP(B22,[2]Трансп!A$2:CP$32,69,FALSE)/1000</f>
        <v>0</v>
      </c>
    </row>
    <row r="23" spans="2:6" x14ac:dyDescent="0.25">
      <c r="B23" t="s">
        <v>86</v>
      </c>
      <c r="C23" s="20">
        <f>VLOOKUP(B23,[2]Трансп!A$2:CP$32,67,FALSE)/1000</f>
        <v>311.17504400000001</v>
      </c>
      <c r="D23" s="20">
        <f>VLOOKUP(B23,[2]Трансп!A$2:CP$32,71,FALSE)/1000</f>
        <v>765.95226364998462</v>
      </c>
      <c r="E23" s="20">
        <f>VLOOKUP(B23,[2]Трансп!A$2:CP$32,65,FALSE)/1000</f>
        <v>214.65700000000001</v>
      </c>
      <c r="F23" s="20">
        <f>VLOOKUP(B23,[2]Трансп!A$2:CP$32,69,FALSE)/1000</f>
        <v>139.876</v>
      </c>
    </row>
    <row r="24" spans="2:6" x14ac:dyDescent="0.25">
      <c r="B24" t="s">
        <v>61</v>
      </c>
      <c r="C24" s="20">
        <f>VLOOKUP(B24,[2]Трансп!A$2:CP$32,67,FALSE)/1000</f>
        <v>0</v>
      </c>
      <c r="D24" s="20">
        <f>VLOOKUP(B24,[2]Трансп!A$2:CP$32,71,FALSE)/1000</f>
        <v>0</v>
      </c>
      <c r="E24" s="20">
        <f>VLOOKUP(B24,[2]Трансп!A$2:CP$32,65,FALSE)/1000</f>
        <v>0</v>
      </c>
      <c r="F24" s="20">
        <f>VLOOKUP(B24,[2]Трансп!A$2:CP$32,69,FALSE)/1000</f>
        <v>0</v>
      </c>
    </row>
    <row r="25" spans="2:6" x14ac:dyDescent="0.25">
      <c r="B25" t="s">
        <v>62</v>
      </c>
      <c r="C25" s="20">
        <f>VLOOKUP(B25,[2]Трансп!A$2:CP$32,67,FALSE)/1000</f>
        <v>0</v>
      </c>
      <c r="D25" s="20">
        <f>VLOOKUP(B25,[2]Трансп!A$2:CP$32,71,FALSE)/1000</f>
        <v>0</v>
      </c>
      <c r="E25" s="20">
        <f>VLOOKUP(B25,[2]Трансп!A$2:CP$32,65,FALSE)/1000</f>
        <v>0</v>
      </c>
      <c r="F25" s="20">
        <f>VLOOKUP(B25,[2]Трансп!A$2:CP$32,69,FALSE)/1000</f>
        <v>0</v>
      </c>
    </row>
    <row r="26" spans="2:6" x14ac:dyDescent="0.25">
      <c r="B26" t="s">
        <v>63</v>
      </c>
      <c r="C26" s="20">
        <f>VLOOKUP(B26,[2]Трансп!A$2:CP$32,67,FALSE)/1000</f>
        <v>0</v>
      </c>
      <c r="D26" s="20">
        <f>VLOOKUP(B26,[2]Трансп!A$2:CP$32,71,FALSE)/1000</f>
        <v>0</v>
      </c>
      <c r="E26" s="20">
        <f>VLOOKUP(B26,[2]Трансп!A$2:CP$32,65,FALSE)/1000</f>
        <v>0</v>
      </c>
      <c r="F26" s="20">
        <f>VLOOKUP(B26,[2]Трансп!A$2:CP$32,69,FALSE)/1000</f>
        <v>0</v>
      </c>
    </row>
    <row r="27" spans="2:6" x14ac:dyDescent="0.25">
      <c r="B27" t="s">
        <v>64</v>
      </c>
      <c r="C27" s="20">
        <f>VLOOKUP(B27,[2]Трансп!A$2:CP$32,67,FALSE)/1000</f>
        <v>0</v>
      </c>
      <c r="D27" s="20">
        <f>VLOOKUP(B27,[2]Трансп!A$2:CP$32,71,FALSE)/1000</f>
        <v>0</v>
      </c>
      <c r="E27" s="20">
        <f>VLOOKUP(B27,[2]Трансп!A$2:CP$32,65,FALSE)/1000</f>
        <v>0</v>
      </c>
      <c r="F27" s="20">
        <f>VLOOKUP(B27,[2]Трансп!A$2:CP$32,69,FALSE)/1000</f>
        <v>0</v>
      </c>
    </row>
    <row r="28" spans="2:6" x14ac:dyDescent="0.25">
      <c r="B28" t="s">
        <v>65</v>
      </c>
      <c r="C28" s="20">
        <f>VLOOKUP(B28,[2]Трансп!A$2:CP$32,67,FALSE)/1000</f>
        <v>0</v>
      </c>
      <c r="D28" s="20">
        <f>VLOOKUP(B28,[2]Трансп!A$2:CP$32,71,FALSE)/1000</f>
        <v>0</v>
      </c>
      <c r="E28" s="20">
        <f>VLOOKUP(B28,[2]Трансп!A$2:CP$32,65,FALSE)/1000</f>
        <v>0</v>
      </c>
      <c r="F28" s="20">
        <f>VLOOKUP(B28,[2]Трансп!A$2:CP$32,69,FALSE)/1000</f>
        <v>0</v>
      </c>
    </row>
    <row r="29" spans="2:6" x14ac:dyDescent="0.25">
      <c r="B29" t="s">
        <v>66</v>
      </c>
      <c r="C29" s="20">
        <f>VLOOKUP(B29,[2]Трансп!A$2:CP$32,67,FALSE)/1000</f>
        <v>4.4999999999999998E-2</v>
      </c>
      <c r="D29" s="20">
        <f>VLOOKUP(B29,[2]Трансп!A$2:CP$32,71,FALSE)/1000</f>
        <v>0</v>
      </c>
      <c r="E29" s="20">
        <f>VLOOKUP(B29,[2]Трансп!A$2:CP$32,65,FALSE)/1000</f>
        <v>0.09</v>
      </c>
      <c r="F29" s="20">
        <f>VLOOKUP(B29,[2]Трансп!A$2:CP$32,69,FALSE)/1000</f>
        <v>8.5999999999999993E-2</v>
      </c>
    </row>
    <row r="30" spans="2:6" x14ac:dyDescent="0.25">
      <c r="B30" t="s">
        <v>67</v>
      </c>
      <c r="C30" s="20">
        <f>VLOOKUP(B30,[2]Трансп!A$2:CP$32,67,FALSE)/1000</f>
        <v>0</v>
      </c>
      <c r="D30" s="20">
        <f>VLOOKUP(B30,[2]Трансп!A$2:CP$32,71,FALSE)/1000</f>
        <v>0</v>
      </c>
      <c r="E30" s="20">
        <f>VLOOKUP(B30,[2]Трансп!A$2:CP$32,65,FALSE)/1000</f>
        <v>0</v>
      </c>
      <c r="F30" s="20">
        <f>VLOOKUP(B30,[2]Трансп!A$2:CP$32,69,FALSE)/1000</f>
        <v>0</v>
      </c>
    </row>
    <row r="31" spans="2:6" x14ac:dyDescent="0.25">
      <c r="B31" t="s">
        <v>68</v>
      </c>
      <c r="C31" s="20">
        <f>VLOOKUP(B31,[2]Трансп!A$2:CP$32,67,FALSE)/1000</f>
        <v>0</v>
      </c>
      <c r="D31" s="20">
        <f>VLOOKUP(B31,[2]Трансп!A$2:CP$32,71,FALSE)/1000</f>
        <v>0</v>
      </c>
      <c r="E31" s="20">
        <f>VLOOKUP(B31,[2]Трансп!A$2:CP$32,65,FALSE)/1000</f>
        <v>0</v>
      </c>
      <c r="F31" s="20">
        <f>VLOOKUP(B31,[2]Трансп!A$2:CP$32,69,FALSE)/1000</f>
        <v>0</v>
      </c>
    </row>
    <row r="32" spans="2:6" x14ac:dyDescent="0.25">
      <c r="B32" t="s">
        <v>69</v>
      </c>
      <c r="C32" s="20">
        <f>VLOOKUP(B32,[2]Трансп!A$2:CP$32,67,FALSE)/1000</f>
        <v>1717.5619999999999</v>
      </c>
      <c r="D32" s="20">
        <f>VLOOKUP(B32,[2]Трансп!A$2:CP$32,71,FALSE)/1000</f>
        <v>1570.241</v>
      </c>
      <c r="E32" s="20">
        <f>VLOOKUP(B32,[2]Трансп!A$2:CP$32,65,FALSE)/1000</f>
        <v>286.56</v>
      </c>
      <c r="F32" s="20">
        <f>VLOOKUP(B32,[2]Трансп!A$2:CP$32,69,FALSE)/1000</f>
        <v>232.36099999999999</v>
      </c>
    </row>
  </sheetData>
  <mergeCells count="6">
    <mergeCell ref="H2:H3"/>
    <mergeCell ref="A2:A3"/>
    <mergeCell ref="B2:B3"/>
    <mergeCell ref="C2:D2"/>
    <mergeCell ref="E2:F2"/>
    <mergeCell ref="G2:G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3191E-A8BB-45EA-89B3-05E16D4B7510}">
  <dimension ref="A1:N6"/>
  <sheetViews>
    <sheetView workbookViewId="0">
      <selection activeCell="H22" sqref="H22"/>
    </sheetView>
  </sheetViews>
  <sheetFormatPr defaultRowHeight="15" x14ac:dyDescent="0.25"/>
  <cols>
    <col min="2" max="2" width="95.7109375" customWidth="1"/>
    <col min="7" max="7" width="10.28515625" bestFit="1" customWidth="1"/>
    <col min="8" max="8" width="10.85546875" bestFit="1" customWidth="1"/>
    <col min="9" max="9" width="15.7109375" style="63" customWidth="1"/>
  </cols>
  <sheetData>
    <row r="1" spans="1:14" x14ac:dyDescent="0.25">
      <c r="A1" s="58" t="s">
        <v>130</v>
      </c>
      <c r="I1" s="66"/>
      <c r="J1" s="40"/>
      <c r="K1" s="40"/>
      <c r="L1" s="40"/>
      <c r="M1" s="40"/>
      <c r="N1" s="40"/>
    </row>
    <row r="2" spans="1:14" x14ac:dyDescent="0.25">
      <c r="A2" s="113" t="s">
        <v>2</v>
      </c>
      <c r="B2" s="113" t="s">
        <v>0</v>
      </c>
      <c r="C2" s="114" t="s">
        <v>134</v>
      </c>
      <c r="D2" s="114"/>
      <c r="E2" s="114" t="s">
        <v>135</v>
      </c>
      <c r="F2" s="114"/>
      <c r="G2" s="111" t="s">
        <v>78</v>
      </c>
      <c r="H2" s="111" t="s">
        <v>131</v>
      </c>
    </row>
    <row r="3" spans="1:14" ht="67.5" x14ac:dyDescent="0.25">
      <c r="A3" s="113"/>
      <c r="B3" s="113"/>
      <c r="C3" s="59" t="s">
        <v>132</v>
      </c>
      <c r="D3" s="59" t="s">
        <v>133</v>
      </c>
      <c r="E3" s="59" t="s">
        <v>132</v>
      </c>
      <c r="F3" s="59" t="s">
        <v>133</v>
      </c>
      <c r="G3" s="112"/>
      <c r="H3" s="112"/>
    </row>
    <row r="4" spans="1:14" x14ac:dyDescent="0.25">
      <c r="A4" s="29">
        <v>1</v>
      </c>
      <c r="B4" s="69" t="s">
        <v>69</v>
      </c>
      <c r="C4" s="20">
        <f>VLOOKUP(B4,[2]Трансп!A$2:CP$32,67,FALSE)/1000</f>
        <v>1717.5619999999999</v>
      </c>
      <c r="D4" s="20">
        <f>VLOOKUP(B4,[2]Трансп!A$2:CP$32,71,FALSE)/1000</f>
        <v>1570.241</v>
      </c>
      <c r="E4" s="20">
        <f>VLOOKUP(B4,[2]Трансп!A$2:CP$32,65,FALSE)/1000</f>
        <v>286.56</v>
      </c>
      <c r="F4" s="20">
        <f>VLOOKUP(B4,[2]Трансп!A$2:CP$32,69,FALSE)/1000</f>
        <v>232.36099999999999</v>
      </c>
      <c r="G4" s="30">
        <f>(C4/E4-1)*100</f>
        <v>499.37255723059735</v>
      </c>
      <c r="H4" s="30">
        <f>(D4/F4-1)*100</f>
        <v>575.7764857269508</v>
      </c>
      <c r="I4" s="63">
        <v>7716748537</v>
      </c>
    </row>
    <row r="5" spans="1:14" x14ac:dyDescent="0.25">
      <c r="A5" s="29">
        <v>2</v>
      </c>
      <c r="B5" s="69" t="s">
        <v>86</v>
      </c>
      <c r="C5" s="20">
        <f>VLOOKUP(B5,[2]Трансп!A$2:CP$32,67,FALSE)/1000</f>
        <v>311.17504400000001</v>
      </c>
      <c r="D5" s="20">
        <f>VLOOKUP(B5,[2]Трансп!A$2:CP$32,71,FALSE)/1000</f>
        <v>765.95226364998462</v>
      </c>
      <c r="E5" s="20">
        <f>VLOOKUP(B5,[2]Трансп!A$2:CP$32,65,FALSE)/1000</f>
        <v>214.65700000000001</v>
      </c>
      <c r="F5" s="20">
        <f>VLOOKUP(B5,[2]Трансп!A$2:CP$32,69,FALSE)/1000</f>
        <v>139.876</v>
      </c>
      <c r="G5" s="30">
        <f t="shared" ref="G5:G6" si="0">(C5/E5-1)*100</f>
        <v>44.963846508616065</v>
      </c>
      <c r="H5" s="30">
        <f t="shared" ref="H5" si="1">(D5/F5-1)*100</f>
        <v>447.59377137606498</v>
      </c>
      <c r="I5" s="63" t="s">
        <v>145</v>
      </c>
    </row>
    <row r="6" spans="1:14" x14ac:dyDescent="0.25">
      <c r="A6" s="29">
        <v>3</v>
      </c>
      <c r="B6" s="69" t="s">
        <v>48</v>
      </c>
      <c r="C6" s="20">
        <f>VLOOKUP(B6,[2]Трансп!A$2:CP$32,67,FALSE)/1000</f>
        <v>9.7000000000000003E-2</v>
      </c>
      <c r="D6" s="20">
        <f>VLOOKUP(B6,[2]Трансп!A$2:CP$32,71,FALSE)/1000</f>
        <v>0</v>
      </c>
      <c r="E6" s="20">
        <f>VLOOKUP(B6,[2]Трансп!A$2:CP$32,65,FALSE)/1000</f>
        <v>27.736999999999998</v>
      </c>
      <c r="F6" s="20">
        <f>VLOOKUP(B6,[2]Трансп!A$2:CP$32,69,FALSE)/1000</f>
        <v>0</v>
      </c>
      <c r="G6" s="30">
        <f t="shared" si="0"/>
        <v>-99.650286620759275</v>
      </c>
      <c r="H6" s="30" t="s">
        <v>100</v>
      </c>
      <c r="I6" s="63">
        <v>7733812126</v>
      </c>
    </row>
  </sheetData>
  <sortState xmlns:xlrd2="http://schemas.microsoft.com/office/spreadsheetml/2017/richdata2" ref="A4:F8">
    <sortCondition descending="1" ref="C4:C8"/>
  </sortState>
  <mergeCells count="6">
    <mergeCell ref="H2:H3"/>
    <mergeCell ref="A2:A3"/>
    <mergeCell ref="B2:B3"/>
    <mergeCell ref="C2:D2"/>
    <mergeCell ref="E2:F2"/>
    <mergeCell ref="G2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1D67-FE35-477D-B8FE-E74B4A24E3A9}">
  <sheetPr codeName="Лист3"/>
  <dimension ref="A1:X67"/>
  <sheetViews>
    <sheetView tabSelected="1" workbookViewId="0">
      <selection activeCell="F5" sqref="F5"/>
    </sheetView>
  </sheetViews>
  <sheetFormatPr defaultRowHeight="15" x14ac:dyDescent="0.25"/>
  <cols>
    <col min="2" max="2" width="95.7109375" customWidth="1"/>
    <col min="6" max="6" width="15.7109375" style="63" customWidth="1"/>
  </cols>
  <sheetData>
    <row r="1" spans="1:24" x14ac:dyDescent="0.25">
      <c r="A1" t="s">
        <v>70</v>
      </c>
    </row>
    <row r="2" spans="1:24" s="6" customFormat="1" ht="56.25" x14ac:dyDescent="0.25">
      <c r="A2" s="1" t="s">
        <v>2</v>
      </c>
      <c r="B2" s="2" t="s">
        <v>0</v>
      </c>
      <c r="C2" s="1" t="s">
        <v>3</v>
      </c>
      <c r="D2" s="1" t="s">
        <v>4</v>
      </c>
      <c r="E2" s="3" t="s">
        <v>1</v>
      </c>
      <c r="F2" s="65"/>
      <c r="G2" s="5"/>
      <c r="H2" s="5"/>
      <c r="I2" s="5"/>
      <c r="J2" s="5"/>
      <c r="L2" s="7"/>
      <c r="M2" s="8"/>
      <c r="N2" s="8"/>
      <c r="O2" s="8"/>
      <c r="P2"/>
      <c r="Q2"/>
      <c r="R2"/>
      <c r="S2" s="5"/>
      <c r="T2" s="5"/>
      <c r="U2" s="5"/>
      <c r="V2" s="9"/>
      <c r="W2" s="5"/>
      <c r="X2" s="5"/>
    </row>
    <row r="3" spans="1:24" x14ac:dyDescent="0.25">
      <c r="A3" s="29">
        <v>1</v>
      </c>
      <c r="B3" s="69" t="s">
        <v>54</v>
      </c>
      <c r="C3" s="70">
        <f>(VLOOKUP(B3,[2]Трансп!A$2:CP$32,21,FALSE)+VLOOKUP(B3,[2]Трансп!A$2:CP$32,44,FALSE)+VLOOKUP(B3,[2]Трансп!A$2:CP$32,67,FALSE)+VLOOKUP(B3,[2]Трансп!A$2:CP$32,79,FALSE))/1000</f>
        <v>10066.319982999999</v>
      </c>
      <c r="D3" s="70">
        <f>(VLOOKUP(B3,[2]Трансп!A$2:CP$32,19,FALSE)+VLOOKUP(B3,[2]Трансп!A$2:CP$32,42,FALSE)+VLOOKUP(B3,[2]Трансп!A$2:CP$32,65,FALSE)+VLOOKUP(B3,[2]Трансп!A$2:CP$32,77,FALSE))/1000</f>
        <v>6316.3860000000004</v>
      </c>
      <c r="E3" s="71">
        <f t="shared" ref="E3:E34" si="0">(C3/D3-1)*100</f>
        <v>59.368347390422294</v>
      </c>
      <c r="F3" s="63">
        <v>4205271785</v>
      </c>
    </row>
    <row r="4" spans="1:24" x14ac:dyDescent="0.25">
      <c r="A4" s="29">
        <v>2</v>
      </c>
      <c r="B4" s="69" t="s">
        <v>65</v>
      </c>
      <c r="C4" s="70">
        <f>(VLOOKUP(B4,[2]Трансп!A$2:CP$32,21,FALSE)+VLOOKUP(B4,[2]Трансп!A$2:CP$32,44,FALSE)+VLOOKUP(B4,[2]Трансп!A$2:CP$32,67,FALSE)+VLOOKUP(B4,[2]Трансп!A$2:CP$32,79,FALSE))/1000</f>
        <v>7145.1369999999997</v>
      </c>
      <c r="D4" s="70">
        <f>(VLOOKUP(B4,[2]Трансп!A$2:CP$32,19,FALSE)+VLOOKUP(B4,[2]Трансп!A$2:CP$32,42,FALSE)+VLOOKUP(B4,[2]Трансп!A$2:CP$32,65,FALSE)+VLOOKUP(B4,[2]Трансп!A$2:CP$32,77,FALSE))/1000</f>
        <v>3699.5610000000001</v>
      </c>
      <c r="E4" s="71">
        <f t="shared" si="0"/>
        <v>93.13472598505605</v>
      </c>
      <c r="F4" s="63" t="s">
        <v>146</v>
      </c>
    </row>
    <row r="5" spans="1:24" x14ac:dyDescent="0.25">
      <c r="A5" s="29">
        <v>3</v>
      </c>
      <c r="B5" s="69" t="s">
        <v>86</v>
      </c>
      <c r="C5" s="70">
        <f>(VLOOKUP(B5,[2]Трансп!A$2:CP$32,21,FALSE)+VLOOKUP(B5,[2]Трансп!A$2:CP$32,44,FALSE)+VLOOKUP(B5,[2]Трансп!A$2:CP$32,67,FALSE)+VLOOKUP(B5,[2]Трансп!A$2:CP$32,79,FALSE))/1000</f>
        <v>6977.7019130000008</v>
      </c>
      <c r="D5" s="70">
        <f>(VLOOKUP(B5,[2]Трансп!A$2:CP$32,19,FALSE)+VLOOKUP(B5,[2]Трансп!A$2:CP$32,42,FALSE)+VLOOKUP(B5,[2]Трансп!A$2:CP$32,65,FALSE)+VLOOKUP(B5,[2]Трансп!A$2:CP$32,77,FALSE))/1000</f>
        <v>5786.2709999999997</v>
      </c>
      <c r="E5" s="71">
        <f t="shared" si="0"/>
        <v>20.590651785925694</v>
      </c>
      <c r="F5" s="63" t="s">
        <v>145</v>
      </c>
    </row>
    <row r="6" spans="1:24" x14ac:dyDescent="0.25">
      <c r="A6" s="29">
        <v>4</v>
      </c>
      <c r="B6" s="69" t="s">
        <v>68</v>
      </c>
      <c r="C6" s="70">
        <f>(VLOOKUP(B6,[2]Трансп!A$2:CP$32,21,FALSE)+VLOOKUP(B6,[2]Трансп!A$2:CP$32,44,FALSE)+VLOOKUP(B6,[2]Трансп!A$2:CP$32,67,FALSE)+VLOOKUP(B6,[2]Трансп!A$2:CP$32,79,FALSE))/1000</f>
        <v>5391.7275826650948</v>
      </c>
      <c r="D6" s="70">
        <f>(VLOOKUP(B6,[2]Трансп!A$2:CP$32,19,FALSE)+VLOOKUP(B6,[2]Трансп!A$2:CP$32,42,FALSE)+VLOOKUP(B6,[2]Трансп!A$2:CP$32,65,FALSE)+VLOOKUP(B6,[2]Трансп!A$2:CP$32,77,FALSE))/1000</f>
        <v>3614.3752050249977</v>
      </c>
      <c r="E6" s="71">
        <f t="shared" si="0"/>
        <v>49.17453990855951</v>
      </c>
      <c r="F6" s="63" t="s">
        <v>168</v>
      </c>
    </row>
    <row r="7" spans="1:24" x14ac:dyDescent="0.25">
      <c r="A7" s="29">
        <v>5</v>
      </c>
      <c r="B7" s="69" t="s">
        <v>60</v>
      </c>
      <c r="C7" s="70">
        <f>(VLOOKUP(B7,[2]Трансп!A$2:CP$32,21,FALSE)+VLOOKUP(B7,[2]Трансп!A$2:CP$32,44,FALSE)+VLOOKUP(B7,[2]Трансп!A$2:CP$32,67,FALSE)+VLOOKUP(B7,[2]Трансп!A$2:CP$32,79,FALSE))/1000</f>
        <v>4960.1229999999996</v>
      </c>
      <c r="D7" s="70">
        <f>(VLOOKUP(B7,[2]Трансп!A$2:CP$32,19,FALSE)+VLOOKUP(B7,[2]Трансп!A$2:CP$32,42,FALSE)+VLOOKUP(B7,[2]Трансп!A$2:CP$32,65,FALSE)+VLOOKUP(B7,[2]Трансп!A$2:CP$32,77,FALSE))/1000</f>
        <v>4330.527</v>
      </c>
      <c r="E7" s="71">
        <f t="shared" si="0"/>
        <v>14.538553852683499</v>
      </c>
      <c r="F7" s="63">
        <v>7704784072</v>
      </c>
    </row>
    <row r="8" spans="1:24" x14ac:dyDescent="0.25">
      <c r="A8" s="29">
        <v>6</v>
      </c>
      <c r="B8" s="69" t="s">
        <v>42</v>
      </c>
      <c r="C8" s="70">
        <f>(VLOOKUP(B8,[2]Трансп!A$2:CP$32,21,FALSE)+VLOOKUP(B8,[2]Трансп!A$2:CP$32,44,FALSE)+VLOOKUP(B8,[2]Трансп!A$2:CP$32,67,FALSE)+VLOOKUP(B8,[2]Трансп!A$2:CP$32,79,FALSE))/1000</f>
        <v>4382.1629999999996</v>
      </c>
      <c r="D8" s="70">
        <f>(VLOOKUP(B8,[2]Трансп!A$2:CP$32,19,FALSE)+VLOOKUP(B8,[2]Трансп!A$2:CP$32,42,FALSE)+VLOOKUP(B8,[2]Трансп!A$2:CP$32,65,FALSE)+VLOOKUP(B8,[2]Трансп!A$2:CP$32,77,FALSE))/1000</f>
        <v>2808.5540000000001</v>
      </c>
      <c r="E8" s="71">
        <f t="shared" si="0"/>
        <v>56.029152368086898</v>
      </c>
      <c r="F8" s="63" t="s">
        <v>148</v>
      </c>
    </row>
    <row r="9" spans="1:24" x14ac:dyDescent="0.25">
      <c r="A9" s="29">
        <v>7</v>
      </c>
      <c r="B9" s="69" t="s">
        <v>56</v>
      </c>
      <c r="C9" s="70">
        <f>(VLOOKUP(B9,[2]Трансп!A$2:CP$32,21,FALSE)+VLOOKUP(B9,[2]Трансп!A$2:CP$32,44,FALSE)+VLOOKUP(B9,[2]Трансп!A$2:CP$32,67,FALSE)+VLOOKUP(B9,[2]Трансп!A$2:CP$32,79,FALSE))/1000</f>
        <v>3914.1521434300003</v>
      </c>
      <c r="D9" s="70">
        <f>(VLOOKUP(B9,[2]Трансп!A$2:CP$32,19,FALSE)+VLOOKUP(B9,[2]Трансп!A$2:CP$32,42,FALSE)+VLOOKUP(B9,[2]Трансп!A$2:CP$32,65,FALSE)+VLOOKUP(B9,[2]Трансп!A$2:CP$32,77,FALSE))/1000</f>
        <v>3366.7588318099997</v>
      </c>
      <c r="E9" s="71">
        <f t="shared" si="0"/>
        <v>16.258762179461407</v>
      </c>
      <c r="F9" s="63">
        <v>7730634468</v>
      </c>
    </row>
    <row r="10" spans="1:24" x14ac:dyDescent="0.25">
      <c r="A10" s="29">
        <v>8</v>
      </c>
      <c r="B10" s="69" t="s">
        <v>53</v>
      </c>
      <c r="C10" s="70">
        <f>(VLOOKUP(B10,[2]Трансп!A$2:CP$32,21,FALSE)+VLOOKUP(B10,[2]Трансп!A$2:CP$32,44,FALSE)+VLOOKUP(B10,[2]Трансп!A$2:CP$32,67,FALSE)+VLOOKUP(B10,[2]Трансп!A$2:CP$32,79,FALSE))/1000</f>
        <v>3573.7013230915431</v>
      </c>
      <c r="D10" s="70">
        <f>(VLOOKUP(B10,[2]Трансп!A$2:CP$32,19,FALSE)+VLOOKUP(B10,[2]Трансп!A$2:CP$32,42,FALSE)+VLOOKUP(B10,[2]Трансп!A$2:CP$32,65,FALSE)+VLOOKUP(B10,[2]Трансп!A$2:CP$32,77,FALSE))/1000</f>
        <v>2192.3670000000002</v>
      </c>
      <c r="E10" s="71">
        <f t="shared" si="0"/>
        <v>63.006527788985281</v>
      </c>
      <c r="F10" s="63" t="s">
        <v>149</v>
      </c>
    </row>
    <row r="11" spans="1:24" x14ac:dyDescent="0.25">
      <c r="A11" s="29">
        <v>9</v>
      </c>
      <c r="B11" s="69" t="s">
        <v>69</v>
      </c>
      <c r="C11" s="70">
        <f>(VLOOKUP(B11,[2]Трансп!A$2:CP$32,21,FALSE)+VLOOKUP(B11,[2]Трансп!A$2:CP$32,44,FALSE)+VLOOKUP(B11,[2]Трансп!A$2:CP$32,67,FALSE)+VLOOKUP(B11,[2]Трансп!A$2:CP$32,79,FALSE))/1000</f>
        <v>3513.4470000000001</v>
      </c>
      <c r="D11" s="70">
        <f>(VLOOKUP(B11,[2]Трансп!A$2:CP$32,19,FALSE)+VLOOKUP(B11,[2]Трансп!A$2:CP$32,42,FALSE)+VLOOKUP(B11,[2]Трансп!A$2:CP$32,65,FALSE)+VLOOKUP(B11,[2]Трансп!A$2:CP$32,77,FALSE))/1000</f>
        <v>1738.7339999999999</v>
      </c>
      <c r="E11" s="71">
        <f t="shared" si="0"/>
        <v>102.06926418877185</v>
      </c>
      <c r="F11" s="63">
        <v>7716748537</v>
      </c>
    </row>
    <row r="12" spans="1:24" x14ac:dyDescent="0.25">
      <c r="A12" s="29">
        <v>10</v>
      </c>
      <c r="B12" s="69" t="s">
        <v>49</v>
      </c>
      <c r="C12" s="70">
        <f>(VLOOKUP(B12,[2]Трансп!A$2:CP$32,21,FALSE)+VLOOKUP(B12,[2]Трансп!A$2:CP$32,44,FALSE)+VLOOKUP(B12,[2]Трансп!A$2:CP$32,67,FALSE)+VLOOKUP(B12,[2]Трансп!A$2:CP$32,79,FALSE))/1000</f>
        <v>2977.5680000000002</v>
      </c>
      <c r="D12" s="70">
        <f>(VLOOKUP(B12,[2]Трансп!A$2:CP$32,19,FALSE)+VLOOKUP(B12,[2]Трансп!A$2:CP$32,42,FALSE)+VLOOKUP(B12,[2]Трансп!A$2:CP$32,65,FALSE)+VLOOKUP(B12,[2]Трансп!A$2:CP$32,77,FALSE))/1000</f>
        <v>2288.8560000000002</v>
      </c>
      <c r="E12" s="71">
        <f t="shared" si="0"/>
        <v>30.089791581471271</v>
      </c>
      <c r="F12" s="63" t="s">
        <v>150</v>
      </c>
    </row>
    <row r="13" spans="1:24" x14ac:dyDescent="0.25">
      <c r="A13" s="29">
        <v>11</v>
      </c>
      <c r="B13" s="69" t="s">
        <v>46</v>
      </c>
      <c r="C13" s="70">
        <f>(VLOOKUP(B13,[2]Трансп!A$2:CP$32,21,FALSE)+VLOOKUP(B13,[2]Трансп!A$2:CP$32,44,FALSE)+VLOOKUP(B13,[2]Трансп!A$2:CP$32,67,FALSE)+VLOOKUP(B13,[2]Трансп!A$2:CP$32,79,FALSE))/1000</f>
        <v>2875.2310000000002</v>
      </c>
      <c r="D13" s="70">
        <f>(VLOOKUP(B13,[2]Трансп!A$2:CP$32,19,FALSE)+VLOOKUP(B13,[2]Трансп!A$2:CP$32,42,FALSE)+VLOOKUP(B13,[2]Трансп!A$2:CP$32,65,FALSE)+VLOOKUP(B13,[2]Трансп!A$2:CP$32,77,FALSE))/1000</f>
        <v>2387.4949999999999</v>
      </c>
      <c r="E13" s="71">
        <f t="shared" si="0"/>
        <v>20.428775767069673</v>
      </c>
      <c r="F13" s="63">
        <v>5410059568</v>
      </c>
    </row>
    <row r="14" spans="1:24" x14ac:dyDescent="0.25">
      <c r="A14" s="29">
        <v>12</v>
      </c>
      <c r="B14" s="69" t="s">
        <v>17</v>
      </c>
      <c r="C14" s="70">
        <f>VLOOKUP(B14,[1]Трансп!A$3:U$38,10,FALSE)/1000</f>
        <v>2411.614</v>
      </c>
      <c r="D14" s="70">
        <f>VLOOKUP(B14,[1]Трансп!A$3:U$38,8,FALSE)/1000</f>
        <v>1835.306</v>
      </c>
      <c r="E14" s="71">
        <f t="shared" si="0"/>
        <v>31.401194133294386</v>
      </c>
      <c r="F14" s="63">
        <v>2310981029</v>
      </c>
    </row>
    <row r="15" spans="1:24" x14ac:dyDescent="0.25">
      <c r="A15" s="29">
        <v>13</v>
      </c>
      <c r="B15" s="69" t="s">
        <v>45</v>
      </c>
      <c r="C15" s="70">
        <f>(VLOOKUP(B15,[2]Трансп!A$2:CP$32,21,FALSE)+VLOOKUP(B15,[2]Трансп!A$2:CP$32,44,FALSE)+VLOOKUP(B15,[2]Трансп!A$2:CP$32,67,FALSE)+VLOOKUP(B15,[2]Трансп!A$2:CP$32,79,FALSE))/1000</f>
        <v>2368.723</v>
      </c>
      <c r="D15" s="70">
        <f>(VLOOKUP(B15,[2]Трансп!A$2:CP$32,19,FALSE)+VLOOKUP(B15,[2]Трансп!A$2:CP$32,42,FALSE)+VLOOKUP(B15,[2]Трансп!A$2:CP$32,65,FALSE)+VLOOKUP(B15,[2]Трансп!A$2:CP$32,77,FALSE))/1000</f>
        <v>783.08600000000001</v>
      </c>
      <c r="E15" s="71">
        <f t="shared" si="0"/>
        <v>202.48567845677229</v>
      </c>
      <c r="F15" s="63">
        <v>5407973316</v>
      </c>
    </row>
    <row r="16" spans="1:24" x14ac:dyDescent="0.25">
      <c r="A16" s="29">
        <v>14</v>
      </c>
      <c r="B16" s="69" t="s">
        <v>64</v>
      </c>
      <c r="C16" s="70">
        <f>(VLOOKUP(B16,[2]Трансп!A$2:CP$32,21,FALSE)+VLOOKUP(B16,[2]Трансп!A$2:CP$32,44,FALSE)+VLOOKUP(B16,[2]Трансп!A$2:CP$32,67,FALSE)+VLOOKUP(B16,[2]Трансп!A$2:CP$32,79,FALSE))/1000</f>
        <v>2335.0509999999999</v>
      </c>
      <c r="D16" s="70">
        <f>(VLOOKUP(B16,[2]Трансп!A$2:CP$32,19,FALSE)+VLOOKUP(B16,[2]Трансп!A$2:CP$32,42,FALSE)+VLOOKUP(B16,[2]Трансп!A$2:CP$32,65,FALSE)+VLOOKUP(B16,[2]Трансп!A$2:CP$32,77,FALSE))/1000</f>
        <v>1508.027</v>
      </c>
      <c r="E16" s="71">
        <f t="shared" si="0"/>
        <v>54.841458408901154</v>
      </c>
      <c r="F16" s="63">
        <v>5260271530</v>
      </c>
    </row>
    <row r="17" spans="1:6" x14ac:dyDescent="0.25">
      <c r="A17" s="29">
        <v>15</v>
      </c>
      <c r="B17" s="69" t="s">
        <v>59</v>
      </c>
      <c r="C17" s="70">
        <f>(VLOOKUP(B17,[2]Трансп!A$2:CP$32,21,FALSE)+VLOOKUP(B17,[2]Трансп!A$2:CP$32,44,FALSE)+VLOOKUP(B17,[2]Трансп!A$2:CP$32,67,FALSE)+VLOOKUP(B17,[2]Трансп!A$2:CP$32,79,FALSE))/1000</f>
        <v>1926.5989999999999</v>
      </c>
      <c r="D17" s="70">
        <f>(VLOOKUP(B17,[2]Трансп!A$2:CP$32,19,FALSE)+VLOOKUP(B17,[2]Трансп!A$2:CP$32,42,FALSE)+VLOOKUP(B17,[2]Трансп!A$2:CP$32,65,FALSE)+VLOOKUP(B17,[2]Трансп!A$2:CP$32,77,FALSE))/1000</f>
        <v>1456.356</v>
      </c>
      <c r="E17" s="71">
        <f t="shared" si="0"/>
        <v>32.289014499202118</v>
      </c>
      <c r="F17" s="63">
        <v>7724889891</v>
      </c>
    </row>
    <row r="18" spans="1:6" x14ac:dyDescent="0.25">
      <c r="A18" s="29">
        <v>16</v>
      </c>
      <c r="B18" s="69" t="s">
        <v>18</v>
      </c>
      <c r="C18" s="70">
        <f>VLOOKUP(B18,[1]Трансп!A$3:U$38,10,FALSE)/1000</f>
        <v>1810.3291999999999</v>
      </c>
      <c r="D18" s="70">
        <f>VLOOKUP(B18,[1]Трансп!A$3:U$38,8,FALSE)/1000</f>
        <v>1131.8176000000001</v>
      </c>
      <c r="E18" s="71">
        <f t="shared" si="0"/>
        <v>59.94884688133493</v>
      </c>
      <c r="F18" s="63">
        <v>9102023109</v>
      </c>
    </row>
    <row r="19" spans="1:6" x14ac:dyDescent="0.25">
      <c r="A19" s="29">
        <v>17</v>
      </c>
      <c r="B19" s="69" t="s">
        <v>30</v>
      </c>
      <c r="C19" s="70">
        <f>VLOOKUP(B19,[1]Трансп!A$3:U$38,10,FALSE)/1000</f>
        <v>1670.78</v>
      </c>
      <c r="D19" s="70">
        <f>VLOOKUP(B19,[1]Трансп!A$3:U$38,8,FALSE)/1000</f>
        <v>1535.46</v>
      </c>
      <c r="E19" s="71">
        <f t="shared" si="0"/>
        <v>8.8129941515897379</v>
      </c>
      <c r="F19" s="63">
        <v>6671118019</v>
      </c>
    </row>
    <row r="20" spans="1:6" x14ac:dyDescent="0.25">
      <c r="A20" s="29">
        <v>18</v>
      </c>
      <c r="B20" s="69" t="s">
        <v>34</v>
      </c>
      <c r="C20" s="70">
        <f>VLOOKUP(B20,[1]Трансп!A$3:U$38,10,FALSE)/1000</f>
        <v>1658.179891</v>
      </c>
      <c r="D20" s="70">
        <f>VLOOKUP(B20,[1]Трансп!A$3:U$38,8,FALSE)/1000</f>
        <v>1349.248</v>
      </c>
      <c r="E20" s="71">
        <f t="shared" si="0"/>
        <v>22.896598030903135</v>
      </c>
      <c r="F20" s="63">
        <v>1655259599</v>
      </c>
    </row>
    <row r="21" spans="1:6" x14ac:dyDescent="0.25">
      <c r="A21" s="29">
        <v>19</v>
      </c>
      <c r="B21" s="69" t="s">
        <v>48</v>
      </c>
      <c r="C21" s="70">
        <f>(VLOOKUP(B21,[2]Трансп!A$2:CP$32,21,FALSE)+VLOOKUP(B21,[2]Трансп!A$2:CP$32,44,FALSE)+VLOOKUP(B21,[2]Трансп!A$2:CP$32,67,FALSE)+VLOOKUP(B21,[2]Трансп!A$2:CP$32,79,FALSE))/1000</f>
        <v>1654.5129999999999</v>
      </c>
      <c r="D21" s="70">
        <f>(VLOOKUP(B21,[2]Трансп!A$2:CP$32,19,FALSE)+VLOOKUP(B21,[2]Трансп!A$2:CP$32,42,FALSE)+VLOOKUP(B21,[2]Трансп!A$2:CP$32,65,FALSE)+VLOOKUP(B21,[2]Трансп!A$2:CP$32,77,FALSE))/1000</f>
        <v>1564.5050000000001</v>
      </c>
      <c r="E21" s="71">
        <f t="shared" si="0"/>
        <v>5.7531295841176444</v>
      </c>
      <c r="F21" s="63">
        <v>7733812126</v>
      </c>
    </row>
    <row r="22" spans="1:6" x14ac:dyDescent="0.25">
      <c r="A22" s="29">
        <v>20</v>
      </c>
      <c r="B22" s="69" t="s">
        <v>27</v>
      </c>
      <c r="C22" s="70">
        <f>VLOOKUP(B22,[1]Трансп!A$3:U$38,10,FALSE)/1000</f>
        <v>1618.5570700000001</v>
      </c>
      <c r="D22" s="70">
        <f>VLOOKUP(B22,[1]Трансп!A$3:U$38,8,FALSE)/1000</f>
        <v>1409.9659199999999</v>
      </c>
      <c r="E22" s="71">
        <f t="shared" si="0"/>
        <v>14.794056157045276</v>
      </c>
      <c r="F22" s="63">
        <v>6164072742</v>
      </c>
    </row>
    <row r="23" spans="1:6" x14ac:dyDescent="0.25">
      <c r="A23" s="29">
        <v>21</v>
      </c>
      <c r="B23" s="69" t="s">
        <v>35</v>
      </c>
      <c r="C23" s="70">
        <f>VLOOKUP(B23,[1]Трансп!A$3:U$38,10,FALSE)/1000</f>
        <v>1547.7912426</v>
      </c>
      <c r="D23" s="70">
        <f>VLOOKUP(B23,[1]Трансп!A$3:U$38,8,FALSE)/1000</f>
        <v>1335.1154960000001</v>
      </c>
      <c r="E23" s="71">
        <f t="shared" si="0"/>
        <v>15.92938942265112</v>
      </c>
      <c r="F23" s="63">
        <v>1831045838</v>
      </c>
    </row>
    <row r="24" spans="1:6" x14ac:dyDescent="0.25">
      <c r="A24" s="29">
        <v>22</v>
      </c>
      <c r="B24" s="69" t="s">
        <v>38</v>
      </c>
      <c r="C24" s="70">
        <f>VLOOKUP(B24,[1]Трансп!A$3:U$38,10,FALSE)/1000</f>
        <v>1348.258</v>
      </c>
      <c r="D24" s="70">
        <f>VLOOKUP(B24,[1]Трансп!A$3:U$38,8,FALSE)/1000</f>
        <v>715.05</v>
      </c>
      <c r="E24" s="71">
        <f t="shared" si="0"/>
        <v>88.554366827494604</v>
      </c>
      <c r="F24" s="63">
        <v>2130058291</v>
      </c>
    </row>
    <row r="25" spans="1:6" x14ac:dyDescent="0.25">
      <c r="A25" s="29">
        <v>23</v>
      </c>
      <c r="B25" s="69" t="s">
        <v>66</v>
      </c>
      <c r="C25" s="70">
        <f>(VLOOKUP(B25,[2]Трансп!A$2:CP$32,21,FALSE)+VLOOKUP(B25,[2]Трансп!A$2:CP$32,44,FALSE)+VLOOKUP(B25,[2]Трансп!A$2:CP$32,67,FALSE)+VLOOKUP(B25,[2]Трансп!A$2:CP$32,79,FALSE))/1000</f>
        <v>1226.2760000000001</v>
      </c>
      <c r="D25" s="70">
        <f>(VLOOKUP(B25,[2]Трансп!A$2:CP$32,19,FALSE)+VLOOKUP(B25,[2]Трансп!A$2:CP$32,42,FALSE)+VLOOKUP(B25,[2]Трансп!A$2:CP$32,65,FALSE)+VLOOKUP(B25,[2]Трансп!A$2:CP$32,77,FALSE))/1000</f>
        <v>897.06299999999999</v>
      </c>
      <c r="E25" s="71">
        <f t="shared" si="0"/>
        <v>36.698983237520679</v>
      </c>
      <c r="F25" s="63">
        <v>4205219217</v>
      </c>
    </row>
    <row r="26" spans="1:6" x14ac:dyDescent="0.25">
      <c r="A26" s="29">
        <v>24</v>
      </c>
      <c r="B26" s="69" t="s">
        <v>29</v>
      </c>
      <c r="C26" s="70">
        <f>VLOOKUP(B26,[1]Трансп!A$3:U$38,10,FALSE)/1000</f>
        <v>1163.8620000000001</v>
      </c>
      <c r="D26" s="70">
        <f>VLOOKUP(B26,[1]Трансп!A$3:U$38,8,FALSE)/1000</f>
        <v>1071.328</v>
      </c>
      <c r="E26" s="71">
        <f t="shared" si="0"/>
        <v>8.637317422862111</v>
      </c>
      <c r="F26" s="63">
        <v>1435296482</v>
      </c>
    </row>
    <row r="27" spans="1:6" x14ac:dyDescent="0.25">
      <c r="A27" s="29">
        <v>25</v>
      </c>
      <c r="B27" s="69" t="s">
        <v>63</v>
      </c>
      <c r="C27" s="70">
        <f>(VLOOKUP(B27,[2]Трансп!A$2:CP$32,21,FALSE)+VLOOKUP(B27,[2]Трансп!A$2:CP$32,44,FALSE)+VLOOKUP(B27,[2]Трансп!A$2:CP$32,67,FALSE)+VLOOKUP(B27,[2]Трансп!A$2:CP$32,79,FALSE))/1000</f>
        <v>1144.913</v>
      </c>
      <c r="D27" s="70">
        <f>(VLOOKUP(B27,[2]Трансп!A$2:CP$32,19,FALSE)+VLOOKUP(B27,[2]Трансп!A$2:CP$32,42,FALSE)+VLOOKUP(B27,[2]Трансп!A$2:CP$32,65,FALSE)+VLOOKUP(B27,[2]Трансп!A$2:CP$32,77,FALSE))/1000</f>
        <v>1313.373</v>
      </c>
      <c r="E27" s="71">
        <f t="shared" si="0"/>
        <v>-12.826516153446132</v>
      </c>
      <c r="F27" s="63" t="s">
        <v>151</v>
      </c>
    </row>
    <row r="28" spans="1:6" x14ac:dyDescent="0.25">
      <c r="A28" s="29">
        <v>26</v>
      </c>
      <c r="B28" s="69" t="s">
        <v>39</v>
      </c>
      <c r="C28" s="70">
        <f>VLOOKUP(B28,[1]Трансп!A$3:U$38,10,FALSE)/1000</f>
        <v>1116.3810000000001</v>
      </c>
      <c r="D28" s="70">
        <f>VLOOKUP(B28,[1]Трансп!A$3:U$38,8,FALSE)/1000</f>
        <v>999.30200000000002</v>
      </c>
      <c r="E28" s="71">
        <f t="shared" si="0"/>
        <v>11.716077822319981</v>
      </c>
      <c r="F28" s="63">
        <v>8601042850</v>
      </c>
    </row>
    <row r="29" spans="1:6" x14ac:dyDescent="0.25">
      <c r="A29" s="29">
        <v>27</v>
      </c>
      <c r="B29" s="69" t="s">
        <v>32</v>
      </c>
      <c r="C29" s="70">
        <f>VLOOKUP(B29,[1]Трансп!A$3:U$38,10,FALSE)/1000</f>
        <v>1113.373</v>
      </c>
      <c r="D29" s="70">
        <f>VLOOKUP(B29,[1]Трансп!A$3:U$38,8,FALSE)/1000</f>
        <v>860.92899999999997</v>
      </c>
      <c r="E29" s="71">
        <f t="shared" si="0"/>
        <v>29.322278608340536</v>
      </c>
      <c r="F29" s="63">
        <v>2634091033</v>
      </c>
    </row>
    <row r="30" spans="1:6" x14ac:dyDescent="0.25">
      <c r="A30" s="29">
        <v>28</v>
      </c>
      <c r="B30" s="69" t="s">
        <v>57</v>
      </c>
      <c r="C30" s="70">
        <f>(VLOOKUP(B30,[2]Трансп!A$2:CP$32,21,FALSE)+VLOOKUP(B30,[2]Трансп!A$2:CP$32,44,FALSE)+VLOOKUP(B30,[2]Трансп!A$2:CP$32,67,FALSE)+VLOOKUP(B30,[2]Трансп!A$2:CP$32,79,FALSE))/1000</f>
        <v>1089.1989739999999</v>
      </c>
      <c r="D30" s="70">
        <f>(VLOOKUP(B30,[2]Трансп!A$2:CP$32,19,FALSE)+VLOOKUP(B30,[2]Трансп!A$2:CP$32,42,FALSE)+VLOOKUP(B30,[2]Трансп!A$2:CP$32,65,FALSE)+VLOOKUP(B30,[2]Трансп!A$2:CP$32,77,FALSE))/1000</f>
        <v>207.953</v>
      </c>
      <c r="E30" s="71">
        <f t="shared" si="0"/>
        <v>423.77170514491252</v>
      </c>
      <c r="F30" s="63">
        <v>1659182700</v>
      </c>
    </row>
    <row r="31" spans="1:6" x14ac:dyDescent="0.25">
      <c r="A31" s="29">
        <v>29</v>
      </c>
      <c r="B31" s="69" t="s">
        <v>24</v>
      </c>
      <c r="C31" s="70">
        <f>VLOOKUP(B31,[1]Трансп!A$3:U$38,10,FALSE)/1000</f>
        <v>1066.117</v>
      </c>
      <c r="D31" s="70">
        <f>VLOOKUP(B31,[1]Трансп!A$3:U$38,8,FALSE)/1000</f>
        <v>917.05399999999997</v>
      </c>
      <c r="E31" s="71">
        <f t="shared" si="0"/>
        <v>16.2545498956441</v>
      </c>
      <c r="F31" s="63">
        <v>5406570716</v>
      </c>
    </row>
    <row r="32" spans="1:6" x14ac:dyDescent="0.25">
      <c r="A32" s="29">
        <v>30</v>
      </c>
      <c r="B32" s="69" t="s">
        <v>55</v>
      </c>
      <c r="C32" s="70">
        <f>(VLOOKUP(B32,[2]Трансп!A$2:CP$32,21,FALSE)+VLOOKUP(B32,[2]Трансп!A$2:CP$32,44,FALSE)+VLOOKUP(B32,[2]Трансп!A$2:CP$32,67,FALSE)+VLOOKUP(B32,[2]Трансп!A$2:CP$32,79,FALSE))/1000</f>
        <v>1025.796</v>
      </c>
      <c r="D32" s="70">
        <f>(VLOOKUP(B32,[2]Трансп!A$2:CP$32,19,FALSE)+VLOOKUP(B32,[2]Трансп!A$2:CP$32,42,FALSE)+VLOOKUP(B32,[2]Трансп!A$2:CP$32,65,FALSE)+VLOOKUP(B32,[2]Трансп!A$2:CP$32,77,FALSE))/1000</f>
        <v>594.11300000000006</v>
      </c>
      <c r="E32" s="71">
        <f t="shared" si="0"/>
        <v>72.660083182828842</v>
      </c>
      <c r="F32" s="63">
        <v>5260355389</v>
      </c>
    </row>
    <row r="33" spans="1:6" x14ac:dyDescent="0.25">
      <c r="A33" s="29">
        <v>31</v>
      </c>
      <c r="B33" s="69" t="s">
        <v>47</v>
      </c>
      <c r="C33" s="70">
        <f>(VLOOKUP(B33,[2]Трансп!A$2:CP$32,21,FALSE)+VLOOKUP(B33,[2]Трансп!A$2:CP$32,44,FALSE)+VLOOKUP(B33,[2]Трансп!A$2:CP$32,67,FALSE)+VLOOKUP(B33,[2]Трансп!A$2:CP$32,79,FALSE))/1000</f>
        <v>980.30799999999999</v>
      </c>
      <c r="D33" s="70">
        <f>(VLOOKUP(B33,[2]Трансп!A$2:CP$32,19,FALSE)+VLOOKUP(B33,[2]Трансп!A$2:CP$32,42,FALSE)+VLOOKUP(B33,[2]Трансп!A$2:CP$32,65,FALSE)+VLOOKUP(B33,[2]Трансп!A$2:CP$32,77,FALSE))/1000</f>
        <v>740.49800000000005</v>
      </c>
      <c r="E33" s="71">
        <f t="shared" si="0"/>
        <v>32.384962552228359</v>
      </c>
      <c r="F33" s="63">
        <v>5407487242</v>
      </c>
    </row>
    <row r="34" spans="1:6" x14ac:dyDescent="0.25">
      <c r="A34" s="29">
        <v>32</v>
      </c>
      <c r="B34" s="69" t="s">
        <v>16</v>
      </c>
      <c r="C34" s="70">
        <f>VLOOKUP(B34,[1]Трансп!A$3:U$38,10,FALSE)/1000</f>
        <v>935.89800000000002</v>
      </c>
      <c r="D34" s="70">
        <f>VLOOKUP(B34,[1]Трансп!A$3:U$38,8,FALSE)/1000</f>
        <v>776.11500000000001</v>
      </c>
      <c r="E34" s="71">
        <f t="shared" si="0"/>
        <v>20.587541794708251</v>
      </c>
      <c r="F34" s="63">
        <v>4345045088</v>
      </c>
    </row>
    <row r="35" spans="1:6" x14ac:dyDescent="0.25">
      <c r="A35" s="29">
        <v>33</v>
      </c>
      <c r="B35" s="69" t="s">
        <v>23</v>
      </c>
      <c r="C35" s="70">
        <f>VLOOKUP(B35,[1]Трансп!A$3:U$38,10,FALSE)/1000</f>
        <v>882.46199999999999</v>
      </c>
      <c r="D35" s="70">
        <f>VLOOKUP(B35,[1]Трансп!A$3:U$38,8,FALSE)/1000</f>
        <v>735.81399999999996</v>
      </c>
      <c r="E35" s="71">
        <f t="shared" ref="E35:E55" si="1">(C35/D35-1)*100</f>
        <v>19.930036666875051</v>
      </c>
      <c r="F35" s="63">
        <v>5321059541</v>
      </c>
    </row>
    <row r="36" spans="1:6" x14ac:dyDescent="0.25">
      <c r="A36" s="29">
        <v>34</v>
      </c>
      <c r="B36" s="69" t="s">
        <v>62</v>
      </c>
      <c r="C36" s="70">
        <f>(VLOOKUP(B36,[2]Трансп!A$2:CP$32,21,FALSE)+VLOOKUP(B36,[2]Трансп!A$2:CP$32,44,FALSE)+VLOOKUP(B36,[2]Трансп!A$2:CP$32,67,FALSE)+VLOOKUP(B36,[2]Трансп!A$2:CP$32,79,FALSE))/1000</f>
        <v>877.99699999999996</v>
      </c>
      <c r="D36" s="70">
        <f>(VLOOKUP(B36,[2]Трансп!A$2:CP$32,19,FALSE)+VLOOKUP(B36,[2]Трансп!A$2:CP$32,42,FALSE)+VLOOKUP(B36,[2]Трансп!A$2:CP$32,65,FALSE)+VLOOKUP(B36,[2]Трансп!A$2:CP$32,77,FALSE))/1000</f>
        <v>785.33900000000006</v>
      </c>
      <c r="E36" s="71">
        <f t="shared" si="1"/>
        <v>11.798471742776041</v>
      </c>
      <c r="F36" s="63">
        <v>7838492459</v>
      </c>
    </row>
    <row r="37" spans="1:6" x14ac:dyDescent="0.25">
      <c r="A37" s="29">
        <v>35</v>
      </c>
      <c r="B37" s="69" t="s">
        <v>5</v>
      </c>
      <c r="C37" s="70">
        <f>VLOOKUP(B37,[1]Трансп!A$3:U$38,10,FALSE)/1000</f>
        <v>814.94677000000001</v>
      </c>
      <c r="D37" s="70">
        <f>VLOOKUP(B37,[1]Трансп!A$3:U$38,8,FALSE)/1000</f>
        <v>445.37513000000001</v>
      </c>
      <c r="E37" s="71">
        <f t="shared" si="1"/>
        <v>82.979855655613278</v>
      </c>
      <c r="F37" s="63">
        <v>2221171632</v>
      </c>
    </row>
    <row r="38" spans="1:6" x14ac:dyDescent="0.25">
      <c r="A38" s="29">
        <v>36</v>
      </c>
      <c r="B38" s="69" t="s">
        <v>22</v>
      </c>
      <c r="C38" s="70">
        <f>VLOOKUP(B38,[1]Трансп!A$3:U$38,10,FALSE)/1000</f>
        <v>795.95969600000001</v>
      </c>
      <c r="D38" s="70">
        <f>VLOOKUP(B38,[1]Трансп!A$3:U$38,8,FALSE)/1000</f>
        <v>584.85199999999998</v>
      </c>
      <c r="E38" s="71">
        <f t="shared" si="1"/>
        <v>36.095917599666237</v>
      </c>
      <c r="F38" s="63" t="s">
        <v>152</v>
      </c>
    </row>
    <row r="39" spans="1:6" x14ac:dyDescent="0.25">
      <c r="A39" s="29">
        <v>37</v>
      </c>
      <c r="B39" s="69" t="s">
        <v>10</v>
      </c>
      <c r="C39" s="70">
        <f>VLOOKUP(B39,[1]Трансп!A$3:U$38,10,FALSE)/1000</f>
        <v>768.19500000000005</v>
      </c>
      <c r="D39" s="70">
        <f>VLOOKUP(B39,[1]Трансп!A$3:U$38,8,FALSE)/1000</f>
        <v>577.99599999999998</v>
      </c>
      <c r="E39" s="71">
        <f t="shared" si="1"/>
        <v>32.90662911162017</v>
      </c>
      <c r="F39" s="63">
        <v>3525251257</v>
      </c>
    </row>
    <row r="40" spans="1:6" x14ac:dyDescent="0.25">
      <c r="A40" s="29">
        <v>38</v>
      </c>
      <c r="B40" s="69" t="s">
        <v>13</v>
      </c>
      <c r="C40" s="70">
        <f>VLOOKUP(B40,[1]Трансп!A$3:U$38,10,FALSE)/1000</f>
        <v>732.27300000000002</v>
      </c>
      <c r="D40" s="70">
        <f>VLOOKUP(B40,[1]Трансп!A$3:U$38,8,FALSE)/1000</f>
        <v>528.21</v>
      </c>
      <c r="E40" s="71">
        <f t="shared" si="1"/>
        <v>38.632930084625428</v>
      </c>
      <c r="F40" s="63">
        <v>3801990027</v>
      </c>
    </row>
    <row r="41" spans="1:6" x14ac:dyDescent="0.25">
      <c r="A41" s="29">
        <v>39</v>
      </c>
      <c r="B41" s="69" t="s">
        <v>7</v>
      </c>
      <c r="C41" s="70">
        <f>VLOOKUP(B41,[1]Трансп!A$3:U$38,10,FALSE)/1000</f>
        <v>719.99569799999995</v>
      </c>
      <c r="D41" s="70">
        <f>VLOOKUP(B41,[1]Трансп!A$3:U$38,8,FALSE)/1000</f>
        <v>530.81035600000007</v>
      </c>
      <c r="E41" s="71">
        <f t="shared" si="1"/>
        <v>35.640853623436051</v>
      </c>
      <c r="F41" s="63">
        <v>2901204067</v>
      </c>
    </row>
    <row r="42" spans="1:6" x14ac:dyDescent="0.25">
      <c r="A42" s="29">
        <v>40</v>
      </c>
      <c r="B42" s="69" t="s">
        <v>21</v>
      </c>
      <c r="C42" s="70">
        <f>VLOOKUP(B42,[1]Трансп!A$3:U$38,10,FALSE)/1000</f>
        <v>687.73340000000007</v>
      </c>
      <c r="D42" s="70">
        <f>VLOOKUP(B42,[1]Трансп!A$3:U$38,8,FALSE)/1000</f>
        <v>479.03809999999999</v>
      </c>
      <c r="E42" s="71">
        <f t="shared" si="1"/>
        <v>43.565490928592119</v>
      </c>
      <c r="F42" s="63">
        <v>4824047100</v>
      </c>
    </row>
    <row r="43" spans="1:6" x14ac:dyDescent="0.25">
      <c r="A43" s="29">
        <v>41</v>
      </c>
      <c r="B43" s="69" t="s">
        <v>14</v>
      </c>
      <c r="C43" s="70">
        <f>VLOOKUP(B43,[1]Трансп!A$3:U$38,10,FALSE)/1000</f>
        <v>672.87400000000002</v>
      </c>
      <c r="D43" s="70">
        <f>VLOOKUP(B43,[1]Трансп!A$3:U$38,8,FALSE)/1000</f>
        <v>561.88199999999995</v>
      </c>
      <c r="E43" s="71">
        <f t="shared" si="1"/>
        <v>19.753613748082355</v>
      </c>
      <c r="F43" s="63">
        <v>4101091354</v>
      </c>
    </row>
    <row r="44" spans="1:6" x14ac:dyDescent="0.25">
      <c r="A44" s="29">
        <v>42</v>
      </c>
      <c r="B44" s="69" t="s">
        <v>9</v>
      </c>
      <c r="C44" s="70">
        <f>VLOOKUP(B44,[1]Трансп!A$3:U$38,10,FALSE)/1000</f>
        <v>664.553</v>
      </c>
      <c r="D44" s="70">
        <f>VLOOKUP(B44,[1]Трансп!A$3:U$38,8,FALSE)/1000</f>
        <v>507.27100000000002</v>
      </c>
      <c r="E44" s="71">
        <f t="shared" si="1"/>
        <v>31.005517760723556</v>
      </c>
      <c r="F44" s="63">
        <v>275066729</v>
      </c>
    </row>
    <row r="45" spans="1:6" x14ac:dyDescent="0.25">
      <c r="A45" s="29">
        <v>43</v>
      </c>
      <c r="B45" s="69" t="s">
        <v>15</v>
      </c>
      <c r="C45" s="70">
        <f>VLOOKUP(B45,[1]Трансп!A$3:U$38,10,FALSE)/1000</f>
        <v>648.96951000000001</v>
      </c>
      <c r="D45" s="70">
        <f>VLOOKUP(B45,[1]Трансп!A$3:U$38,8,FALSE)/1000</f>
        <v>555.03</v>
      </c>
      <c r="E45" s="71">
        <f t="shared" si="1"/>
        <v>16.925122966326157</v>
      </c>
      <c r="F45" s="63">
        <v>4207043015</v>
      </c>
    </row>
    <row r="46" spans="1:6" x14ac:dyDescent="0.25">
      <c r="A46" s="29">
        <v>44</v>
      </c>
      <c r="B46" s="69" t="s">
        <v>37</v>
      </c>
      <c r="C46" s="70">
        <f>VLOOKUP(B46,[1]Трансп!A$3:U$38,10,FALSE)/1000</f>
        <v>647.226</v>
      </c>
      <c r="D46" s="70">
        <f>VLOOKUP(B46,[1]Трансп!A$3:U$38,8,FALSE)/1000</f>
        <v>460.97500000000002</v>
      </c>
      <c r="E46" s="71">
        <f t="shared" si="1"/>
        <v>40.403709528716305</v>
      </c>
      <c r="F46" s="63">
        <v>2721052016</v>
      </c>
    </row>
    <row r="47" spans="1:6" x14ac:dyDescent="0.25">
      <c r="A47" s="29">
        <v>45</v>
      </c>
      <c r="B47" s="69" t="s">
        <v>51</v>
      </c>
      <c r="C47" s="70">
        <f>(VLOOKUP(B47,[2]Трансп!A$2:CP$32,21,FALSE)+VLOOKUP(B47,[2]Трансп!A$2:CP$32,44,FALSE)+VLOOKUP(B47,[2]Трансп!A$2:CP$32,67,FALSE)+VLOOKUP(B47,[2]Трансп!A$2:CP$32,79,FALSE))/1000</f>
        <v>639.45100000000002</v>
      </c>
      <c r="D47" s="70">
        <f>(VLOOKUP(B47,[2]Трансп!A$2:CP$32,19,FALSE)+VLOOKUP(B47,[2]Трансп!A$2:CP$32,42,FALSE)+VLOOKUP(B47,[2]Трансп!A$2:CP$32,65,FALSE)+VLOOKUP(B47,[2]Трансп!A$2:CP$32,77,FALSE))/1000</f>
        <v>216.21700000000001</v>
      </c>
      <c r="E47" s="71">
        <f t="shared" si="1"/>
        <v>195.74501542431909</v>
      </c>
      <c r="F47" s="63">
        <v>7704493556</v>
      </c>
    </row>
    <row r="48" spans="1:6" x14ac:dyDescent="0.25">
      <c r="A48" s="29">
        <v>46</v>
      </c>
      <c r="B48" s="69" t="s">
        <v>25</v>
      </c>
      <c r="C48" s="70">
        <f>VLOOKUP(B48,[1]Трансп!A$3:U$38,10,FALSE)/1000</f>
        <v>600.83600000000001</v>
      </c>
      <c r="D48" s="70">
        <f>VLOOKUP(B48,[1]Трансп!A$3:U$38,8,FALSE)/1000</f>
        <v>513.50599999999997</v>
      </c>
      <c r="E48" s="71">
        <f t="shared" si="1"/>
        <v>17.006617254715639</v>
      </c>
      <c r="F48" s="63">
        <v>5753990187</v>
      </c>
    </row>
    <row r="49" spans="1:6" x14ac:dyDescent="0.25">
      <c r="A49" s="29">
        <v>47</v>
      </c>
      <c r="B49" s="69" t="s">
        <v>26</v>
      </c>
      <c r="C49" s="70">
        <f>VLOOKUP(B49,[1]Трансп!A$3:U$38,10,FALSE)/1000</f>
        <v>598.77</v>
      </c>
      <c r="D49" s="70">
        <f>VLOOKUP(B49,[1]Трансп!A$3:U$38,8,FALSE)/1000</f>
        <v>410.66699999999997</v>
      </c>
      <c r="E49" s="71">
        <f t="shared" si="1"/>
        <v>45.804264769265622</v>
      </c>
      <c r="F49" s="63">
        <v>5835073174</v>
      </c>
    </row>
    <row r="50" spans="1:6" x14ac:dyDescent="0.25">
      <c r="A50" s="29">
        <v>48</v>
      </c>
      <c r="B50" s="69" t="s">
        <v>41</v>
      </c>
      <c r="C50" s="70">
        <f>VLOOKUP(B50,[1]Трансп!A$3:U$38,10,FALSE)/1000</f>
        <v>527.96112000000005</v>
      </c>
      <c r="D50" s="70">
        <f>VLOOKUP(B50,[1]Трансп!A$3:U$38,8,FALSE)/1000</f>
        <v>316.411</v>
      </c>
      <c r="E50" s="71">
        <f t="shared" si="1"/>
        <v>66.859281124866101</v>
      </c>
      <c r="F50" s="63">
        <v>7604192192</v>
      </c>
    </row>
    <row r="51" spans="1:6" x14ac:dyDescent="0.25">
      <c r="A51" s="29">
        <v>49</v>
      </c>
      <c r="B51" s="69" t="s">
        <v>8</v>
      </c>
      <c r="C51" s="70">
        <f>VLOOKUP(B51,[1]Трансп!A$3:U$38,10,FALSE)/1000</f>
        <v>494.49</v>
      </c>
      <c r="D51" s="70">
        <f>VLOOKUP(B51,[1]Трансп!A$3:U$38,8,FALSE)/1000</f>
        <v>391.98899999999998</v>
      </c>
      <c r="E51" s="71">
        <f t="shared" si="1"/>
        <v>26.148948057215904</v>
      </c>
      <c r="F51" s="63">
        <v>3015028318</v>
      </c>
    </row>
    <row r="52" spans="1:6" x14ac:dyDescent="0.25">
      <c r="A52" s="29">
        <v>50</v>
      </c>
      <c r="B52" s="69" t="s">
        <v>28</v>
      </c>
      <c r="C52" s="70">
        <f>VLOOKUP(B52,[1]Трансп!A$3:U$38,10,FALSE)/1000</f>
        <v>462.053</v>
      </c>
      <c r="D52" s="70">
        <f>VLOOKUP(B52,[1]Трансп!A$3:U$38,8,FALSE)/1000</f>
        <v>269.25099999999998</v>
      </c>
      <c r="E52" s="71">
        <f t="shared" si="1"/>
        <v>71.6067906897282</v>
      </c>
      <c r="F52" s="63">
        <v>6450939546</v>
      </c>
    </row>
    <row r="53" spans="1:6" x14ac:dyDescent="0.25">
      <c r="A53" s="29">
        <v>51</v>
      </c>
      <c r="B53" s="69" t="s">
        <v>20</v>
      </c>
      <c r="C53" s="70">
        <f>VLOOKUP(B53,[1]Трансп!A$3:U$38,10,FALSE)/1000</f>
        <v>436.25900000000001</v>
      </c>
      <c r="D53" s="70">
        <f>VLOOKUP(B53,[1]Трансп!A$3:U$38,8,FALSE)/1000</f>
        <v>195.18600000000001</v>
      </c>
      <c r="E53" s="71">
        <f t="shared" si="1"/>
        <v>123.50937054911726</v>
      </c>
      <c r="F53" s="63">
        <v>4632066518</v>
      </c>
    </row>
    <row r="54" spans="1:6" x14ac:dyDescent="0.25">
      <c r="A54" s="29">
        <v>52</v>
      </c>
      <c r="B54" s="69" t="s">
        <v>67</v>
      </c>
      <c r="C54" s="70">
        <f>(VLOOKUP(B54,[2]Трансп!A$2:CP$32,21,FALSE)+VLOOKUP(B54,[2]Трансп!A$2:CP$32,44,FALSE)+VLOOKUP(B54,[2]Трансп!A$2:CP$32,67,FALSE)+VLOOKUP(B54,[2]Трансп!A$2:CP$32,79,FALSE))/1000</f>
        <v>426.6</v>
      </c>
      <c r="D54" s="70">
        <f>(VLOOKUP(B54,[2]Трансп!A$2:CP$32,19,FALSE)+VLOOKUP(B54,[2]Трансп!A$2:CP$32,42,FALSE)+VLOOKUP(B54,[2]Трансп!A$2:CP$32,65,FALSE)+VLOOKUP(B54,[2]Трансп!A$2:CP$32,77,FALSE))/1000</f>
        <v>624.48400000000004</v>
      </c>
      <c r="E54" s="71">
        <f t="shared" si="1"/>
        <v>-31.68760128361976</v>
      </c>
      <c r="F54" s="63">
        <v>1831178411</v>
      </c>
    </row>
    <row r="55" spans="1:6" x14ac:dyDescent="0.25">
      <c r="A55" s="29">
        <v>53</v>
      </c>
      <c r="B55" s="69" t="s">
        <v>44</v>
      </c>
      <c r="C55" s="70">
        <f>(VLOOKUP(B55,[2]Трансп!A$2:CP$32,21,FALSE)+VLOOKUP(B55,[2]Трансп!A$2:CP$32,44,FALSE)+VLOOKUP(B55,[2]Трансп!A$2:CP$32,67,FALSE)+VLOOKUP(B55,[2]Трансп!A$2:CP$32,79,FALSE))/1000</f>
        <v>370</v>
      </c>
      <c r="D55" s="70">
        <f>(VLOOKUP(B55,[2]Трансп!A$2:CP$32,19,FALSE)+VLOOKUP(B55,[2]Трансп!A$2:CP$32,42,FALSE)+VLOOKUP(B55,[2]Трансп!A$2:CP$32,65,FALSE)+VLOOKUP(B55,[2]Трансп!A$2:CP$32,77,FALSE))/1000</f>
        <v>164</v>
      </c>
      <c r="E55" s="71">
        <f t="shared" si="1"/>
        <v>125.60975609756096</v>
      </c>
      <c r="F55" s="63">
        <v>7704472891</v>
      </c>
    </row>
    <row r="56" spans="1:6" x14ac:dyDescent="0.25">
      <c r="A56" s="29">
        <v>54</v>
      </c>
      <c r="B56" s="69" t="s">
        <v>99</v>
      </c>
      <c r="C56" s="70">
        <v>296.91773000000001</v>
      </c>
      <c r="D56" s="70">
        <v>0</v>
      </c>
      <c r="E56" s="71" t="s">
        <v>100</v>
      </c>
      <c r="F56" s="63" t="s">
        <v>153</v>
      </c>
    </row>
    <row r="57" spans="1:6" x14ac:dyDescent="0.25">
      <c r="A57" s="29">
        <v>55</v>
      </c>
      <c r="B57" s="69" t="s">
        <v>58</v>
      </c>
      <c r="C57" s="70">
        <f>(VLOOKUP(B57,[2]Трансп!A$2:CP$32,21,FALSE)+VLOOKUP(B57,[2]Трансп!A$2:CP$32,44,FALSE)+VLOOKUP(B57,[2]Трансп!A$2:CP$32,67,FALSE)+VLOOKUP(B57,[2]Трансп!A$2:CP$32,79,FALSE))/1000</f>
        <v>237.07499999999999</v>
      </c>
      <c r="D57" s="70">
        <f>(VLOOKUP(B57,[2]Трансп!A$2:CP$32,19,FALSE)+VLOOKUP(B57,[2]Трансп!A$2:CP$32,42,FALSE)+VLOOKUP(B57,[2]Трансп!A$2:CP$32,65,FALSE)+VLOOKUP(B57,[2]Трансп!A$2:CP$32,77,FALSE))/1000</f>
        <v>202.20099999999999</v>
      </c>
      <c r="E57" s="71">
        <f t="shared" ref="E57:E67" si="2">(C57/D57-1)*100</f>
        <v>17.247194623171993</v>
      </c>
      <c r="F57" s="63">
        <v>5501246928</v>
      </c>
    </row>
    <row r="58" spans="1:6" x14ac:dyDescent="0.25">
      <c r="A58" s="29">
        <v>56</v>
      </c>
      <c r="B58" s="69" t="s">
        <v>12</v>
      </c>
      <c r="C58" s="70">
        <f>VLOOKUP(B58,[1]Трансп!A$3:U$38,10,FALSE)/1000</f>
        <v>220.476</v>
      </c>
      <c r="D58" s="70">
        <f>VLOOKUP(B58,[1]Трансп!A$3:U$38,8,FALSE)/1000</f>
        <v>103.82299999999999</v>
      </c>
      <c r="E58" s="71">
        <f t="shared" si="2"/>
        <v>112.35757009525828</v>
      </c>
      <c r="F58" s="63">
        <v>7536165141</v>
      </c>
    </row>
    <row r="59" spans="1:6" x14ac:dyDescent="0.25">
      <c r="A59" s="29">
        <v>57</v>
      </c>
      <c r="B59" s="69" t="s">
        <v>19</v>
      </c>
      <c r="C59" s="70">
        <f>VLOOKUP(B59,[1]Трансп!A$3:U$38,10,FALSE)/1000</f>
        <v>212.709</v>
      </c>
      <c r="D59" s="70">
        <f>VLOOKUP(B59,[1]Трансп!A$3:U$38,8,FALSE)/1000</f>
        <v>156.75299999999999</v>
      </c>
      <c r="E59" s="71">
        <f t="shared" si="2"/>
        <v>35.696924460775882</v>
      </c>
      <c r="F59" s="63">
        <v>4501153372</v>
      </c>
    </row>
    <row r="60" spans="1:6" x14ac:dyDescent="0.25">
      <c r="A60" s="29">
        <v>58</v>
      </c>
      <c r="B60" s="69" t="s">
        <v>61</v>
      </c>
      <c r="C60" s="70">
        <f>(VLOOKUP(B60,[2]Трансп!A$2:CP$32,21,FALSE)+VLOOKUP(B60,[2]Трансп!A$2:CP$32,44,FALSE)+VLOOKUP(B60,[2]Трансп!A$2:CP$32,67,FALSE)+VLOOKUP(B60,[2]Трансп!A$2:CP$32,79,FALSE))/1000</f>
        <v>204.768</v>
      </c>
      <c r="D60" s="70">
        <f>(VLOOKUP(B60,[2]Трансп!A$2:CP$32,19,FALSE)+VLOOKUP(B60,[2]Трансп!A$2:CP$32,42,FALSE)+VLOOKUP(B60,[2]Трансп!A$2:CP$32,65,FALSE)+VLOOKUP(B60,[2]Трансп!A$2:CP$32,77,FALSE))/1000</f>
        <v>163.08199999999999</v>
      </c>
      <c r="E60" s="71">
        <f t="shared" si="2"/>
        <v>25.561374032695205</v>
      </c>
      <c r="F60" s="63">
        <v>7705974076</v>
      </c>
    </row>
    <row r="61" spans="1:6" x14ac:dyDescent="0.25">
      <c r="A61" s="29">
        <v>59</v>
      </c>
      <c r="B61" s="69" t="s">
        <v>6</v>
      </c>
      <c r="C61" s="70">
        <f>VLOOKUP(B61,[1]Трансп!A$3:U$38,10,FALSE)/1000</f>
        <v>199.81800000000001</v>
      </c>
      <c r="D61" s="70">
        <f>VLOOKUP(B61,[1]Трансп!A$3:U$38,8,FALSE)/1000</f>
        <v>161.21600000000001</v>
      </c>
      <c r="E61" s="71">
        <f t="shared" si="2"/>
        <v>23.944273521238578</v>
      </c>
      <c r="F61" s="63">
        <v>2801249882</v>
      </c>
    </row>
    <row r="62" spans="1:6" x14ac:dyDescent="0.25">
      <c r="A62" s="29">
        <v>60</v>
      </c>
      <c r="B62" s="69" t="s">
        <v>40</v>
      </c>
      <c r="C62" s="70">
        <f>VLOOKUP(B62,[1]Трансп!A$3:U$38,10,FALSE)/1000</f>
        <v>151.53531000000001</v>
      </c>
      <c r="D62" s="70">
        <f>VLOOKUP(B62,[1]Трансп!A$3:U$38,8,FALSE)/1000</f>
        <v>178.57266000000001</v>
      </c>
      <c r="E62" s="71">
        <f t="shared" si="2"/>
        <v>-15.140811588963288</v>
      </c>
      <c r="F62" s="63">
        <v>1435296482</v>
      </c>
    </row>
    <row r="63" spans="1:6" x14ac:dyDescent="0.25">
      <c r="A63" s="29">
        <v>61</v>
      </c>
      <c r="B63" s="69" t="s">
        <v>52</v>
      </c>
      <c r="C63" s="70">
        <f>(VLOOKUP(B63,[2]Трансп!A$2:CP$32,21,FALSE)+VLOOKUP(B63,[2]Трансп!A$2:CP$32,44,FALSE)+VLOOKUP(B63,[2]Трансп!A$2:CP$32,67,FALSE)+VLOOKUP(B63,[2]Трансп!A$2:CP$32,79,FALSE))/1000</f>
        <v>133.37200000000001</v>
      </c>
      <c r="D63" s="70">
        <f>(VLOOKUP(B63,[2]Трансп!A$2:CP$32,19,FALSE)+VLOOKUP(B63,[2]Трансп!A$2:CP$32,42,FALSE)+VLOOKUP(B63,[2]Трансп!A$2:CP$32,65,FALSE)+VLOOKUP(B63,[2]Трансп!A$2:CP$32,77,FALSE))/1000</f>
        <v>80.004999999999995</v>
      </c>
      <c r="E63" s="71">
        <f t="shared" si="2"/>
        <v>66.704580963689779</v>
      </c>
      <c r="F63" s="63">
        <v>3123449916</v>
      </c>
    </row>
    <row r="64" spans="1:6" x14ac:dyDescent="0.25">
      <c r="A64" s="29">
        <v>62</v>
      </c>
      <c r="B64" s="69" t="s">
        <v>11</v>
      </c>
      <c r="C64" s="70">
        <f>VLOOKUP(B64,[1]Трансп!A$3:U$38,10,FALSE)/1000</f>
        <v>85.304000000000002</v>
      </c>
      <c r="D64" s="70">
        <f>VLOOKUP(B64,[1]Трансп!A$3:U$38,8,FALSE)/1000</f>
        <v>42.494</v>
      </c>
      <c r="E64" s="71">
        <f t="shared" si="2"/>
        <v>100.74363439544408</v>
      </c>
      <c r="F64" s="63">
        <v>7901550330</v>
      </c>
    </row>
    <row r="65" spans="1:6" x14ac:dyDescent="0.25">
      <c r="A65" s="29">
        <v>63</v>
      </c>
      <c r="B65" s="69" t="s">
        <v>50</v>
      </c>
      <c r="C65" s="70">
        <f>(VLOOKUP(B65,[2]Трансп!A$2:CP$32,21,FALSE)+VLOOKUP(B65,[2]Трансп!A$2:CP$32,44,FALSE)+VLOOKUP(B65,[2]Трансп!A$2:CP$32,67,FALSE)+VLOOKUP(B65,[2]Трансп!A$2:CP$32,79,FALSE))/1000</f>
        <v>76.093000000000004</v>
      </c>
      <c r="D65" s="70">
        <f>(VLOOKUP(B65,[2]Трансп!A$2:CP$32,19,FALSE)+VLOOKUP(B65,[2]Трансп!A$2:CP$32,42,FALSE)+VLOOKUP(B65,[2]Трансп!A$2:CP$32,65,FALSE)+VLOOKUP(B65,[2]Трансп!A$2:CP$32,77,FALSE))/1000</f>
        <v>66.037999999999997</v>
      </c>
      <c r="E65" s="71">
        <f t="shared" si="2"/>
        <v>15.226081952815051</v>
      </c>
      <c r="F65" s="63">
        <v>2465260220</v>
      </c>
    </row>
    <row r="66" spans="1:6" x14ac:dyDescent="0.25">
      <c r="A66" s="29">
        <v>64</v>
      </c>
      <c r="B66" s="69" t="s">
        <v>33</v>
      </c>
      <c r="C66" s="70">
        <f>VLOOKUP(B66,[1]Трансп!A$3:U$38,10,FALSE)/1000</f>
        <v>70.72</v>
      </c>
      <c r="D66" s="70">
        <f>VLOOKUP(B66,[1]Трансп!A$3:U$38,8,FALSE)/1000</f>
        <v>73.449780000000004</v>
      </c>
      <c r="E66" s="71">
        <f t="shared" si="2"/>
        <v>-3.7165257676741947</v>
      </c>
      <c r="F66" s="63">
        <v>6154035727</v>
      </c>
    </row>
    <row r="67" spans="1:6" x14ac:dyDescent="0.25">
      <c r="A67" s="29">
        <v>65</v>
      </c>
      <c r="B67" s="69" t="s">
        <v>36</v>
      </c>
      <c r="C67" s="70">
        <f>VLOOKUP(B67,[1]Трансп!A$3:U$38,10,FALSE)/1000</f>
        <v>34.923999999999999</v>
      </c>
      <c r="D67" s="70">
        <f>VLOOKUP(B67,[1]Трансп!A$3:U$38,8,FALSE)/1000</f>
        <v>30.148</v>
      </c>
      <c r="E67" s="71">
        <f t="shared" si="2"/>
        <v>15.841846888682509</v>
      </c>
      <c r="F67" s="63">
        <v>3818029140</v>
      </c>
    </row>
  </sheetData>
  <sortState xmlns:xlrd2="http://schemas.microsoft.com/office/spreadsheetml/2017/richdata2" ref="A3:F67">
    <sortCondition descending="1" ref="C3:C67"/>
  </sortState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FA4D5-0F25-4F54-B8E3-B9C5F1A52388}">
  <dimension ref="A1:E31"/>
  <sheetViews>
    <sheetView workbookViewId="0">
      <selection activeCell="H22" sqref="H22"/>
    </sheetView>
  </sheetViews>
  <sheetFormatPr defaultRowHeight="15" x14ac:dyDescent="0.25"/>
  <cols>
    <col min="2" max="2" width="95.7109375" customWidth="1"/>
  </cols>
  <sheetData>
    <row r="1" spans="1:5" x14ac:dyDescent="0.25">
      <c r="A1" t="s">
        <v>136</v>
      </c>
    </row>
    <row r="2" spans="1:5" ht="90" x14ac:dyDescent="0.25">
      <c r="A2" s="60" t="s">
        <v>73</v>
      </c>
      <c r="B2" s="61" t="s">
        <v>0</v>
      </c>
      <c r="C2" s="3" t="s">
        <v>137</v>
      </c>
      <c r="D2" s="3" t="s">
        <v>138</v>
      </c>
      <c r="E2" s="1" t="s">
        <v>90</v>
      </c>
    </row>
    <row r="3" spans="1:5" x14ac:dyDescent="0.25">
      <c r="B3" t="s">
        <v>42</v>
      </c>
      <c r="C3">
        <f>VLOOKUP(B3,[2]Трансп!A$2:CP$32,75,FALSE)/1000</f>
        <v>0</v>
      </c>
      <c r="D3">
        <f>VLOOKUP(B3,[2]Трансп!A$2:CP$32,73,FALSE)/1000</f>
        <v>0</v>
      </c>
    </row>
    <row r="4" spans="1:5" x14ac:dyDescent="0.25">
      <c r="B4" t="s">
        <v>43</v>
      </c>
      <c r="C4">
        <f>VLOOKUP(B4,[2]Трансп!A$2:CP$32,75,FALSE)/1000</f>
        <v>0</v>
      </c>
      <c r="D4">
        <f>VLOOKUP(B4,[2]Трансп!A$2:CP$32,73,FALSE)/1000</f>
        <v>0</v>
      </c>
    </row>
    <row r="5" spans="1:5" x14ac:dyDescent="0.25">
      <c r="B5" t="s">
        <v>44</v>
      </c>
      <c r="C5">
        <f>VLOOKUP(B5,[2]Трансп!A$2:CP$32,75,FALSE)/1000</f>
        <v>0</v>
      </c>
      <c r="D5">
        <f>VLOOKUP(B5,[2]Трансп!A$2:CP$32,73,FALSE)/1000</f>
        <v>0</v>
      </c>
    </row>
    <row r="6" spans="1:5" x14ac:dyDescent="0.25">
      <c r="B6" t="s">
        <v>45</v>
      </c>
      <c r="C6">
        <f>VLOOKUP(B6,[2]Трансп!A$2:CP$32,75,FALSE)/1000</f>
        <v>0</v>
      </c>
      <c r="D6">
        <f>VLOOKUP(B6,[2]Трансп!A$2:CP$32,73,FALSE)/1000</f>
        <v>0</v>
      </c>
    </row>
    <row r="7" spans="1:5" x14ac:dyDescent="0.25">
      <c r="B7" t="s">
        <v>46</v>
      </c>
      <c r="C7">
        <f>VLOOKUP(B7,[2]Трансп!A$2:CP$32,75,FALSE)/1000</f>
        <v>0</v>
      </c>
      <c r="D7">
        <f>VLOOKUP(B7,[2]Трансп!A$2:CP$32,73,FALSE)/1000</f>
        <v>0</v>
      </c>
    </row>
    <row r="8" spans="1:5" x14ac:dyDescent="0.25">
      <c r="B8" t="s">
        <v>47</v>
      </c>
      <c r="C8">
        <f>VLOOKUP(B8,[2]Трансп!A$2:CP$32,75,FALSE)/1000</f>
        <v>0</v>
      </c>
      <c r="D8">
        <f>VLOOKUP(B8,[2]Трансп!A$2:CP$32,73,FALSE)/1000</f>
        <v>0</v>
      </c>
    </row>
    <row r="9" spans="1:5" x14ac:dyDescent="0.25">
      <c r="B9" t="s">
        <v>48</v>
      </c>
      <c r="C9">
        <f>VLOOKUP(B9,[2]Трансп!A$2:CP$32,75,FALSE)/1000</f>
        <v>0</v>
      </c>
      <c r="D9">
        <f>VLOOKUP(B9,[2]Трансп!A$2:CP$32,73,FALSE)/1000</f>
        <v>2.3370000000000002</v>
      </c>
    </row>
    <row r="10" spans="1:5" x14ac:dyDescent="0.25">
      <c r="B10" t="s">
        <v>49</v>
      </c>
      <c r="C10">
        <f>VLOOKUP(B10,[2]Трансп!A$2:CP$32,75,FALSE)/1000</f>
        <v>0</v>
      </c>
      <c r="D10">
        <f>VLOOKUP(B10,[2]Трансп!A$2:CP$32,73,FALSE)/1000</f>
        <v>0</v>
      </c>
    </row>
    <row r="11" spans="1:5" x14ac:dyDescent="0.25">
      <c r="B11" t="s">
        <v>50</v>
      </c>
      <c r="C11">
        <f>VLOOKUP(B11,[2]Трансп!A$2:CP$32,75,FALSE)/1000</f>
        <v>0</v>
      </c>
      <c r="D11">
        <f>VLOOKUP(B11,[2]Трансп!A$2:CP$32,73,FALSE)/1000</f>
        <v>0</v>
      </c>
    </row>
    <row r="12" spans="1:5" x14ac:dyDescent="0.25">
      <c r="B12" t="s">
        <v>51</v>
      </c>
      <c r="C12">
        <f>VLOOKUP(B12,[2]Трансп!A$2:CP$32,75,FALSE)/1000</f>
        <v>0</v>
      </c>
      <c r="D12">
        <f>VLOOKUP(B12,[2]Трансп!A$2:CP$32,73,FALSE)/1000</f>
        <v>0</v>
      </c>
    </row>
    <row r="13" spans="1:5" x14ac:dyDescent="0.25">
      <c r="B13" t="s">
        <v>52</v>
      </c>
      <c r="C13">
        <f>VLOOKUP(B13,[2]Трансп!A$2:CP$32,75,FALSE)/1000</f>
        <v>0</v>
      </c>
      <c r="D13">
        <f>VLOOKUP(B13,[2]Трансп!A$2:CP$32,73,FALSE)/1000</f>
        <v>0</v>
      </c>
    </row>
    <row r="14" spans="1:5" x14ac:dyDescent="0.25">
      <c r="B14" t="s">
        <v>53</v>
      </c>
      <c r="C14">
        <f>VLOOKUP(B14,[2]Трансп!A$2:CP$32,75,FALSE)/1000</f>
        <v>0</v>
      </c>
      <c r="D14">
        <f>VLOOKUP(B14,[2]Трансп!A$2:CP$32,73,FALSE)/1000</f>
        <v>0</v>
      </c>
    </row>
    <row r="15" spans="1:5" x14ac:dyDescent="0.25">
      <c r="B15" t="s">
        <v>54</v>
      </c>
      <c r="C15">
        <f>VLOOKUP(B15,[2]Трансп!A$2:CP$32,75,FALSE)/1000</f>
        <v>0</v>
      </c>
      <c r="D15">
        <f>VLOOKUP(B15,[2]Трансп!A$2:CP$32,73,FALSE)/1000</f>
        <v>0</v>
      </c>
    </row>
    <row r="16" spans="1:5" x14ac:dyDescent="0.25">
      <c r="B16" t="s">
        <v>55</v>
      </c>
      <c r="C16">
        <f>VLOOKUP(B16,[2]Трансп!A$2:CP$32,75,FALSE)/1000</f>
        <v>0</v>
      </c>
      <c r="D16">
        <f>VLOOKUP(B16,[2]Трансп!A$2:CP$32,73,FALSE)/1000</f>
        <v>0</v>
      </c>
    </row>
    <row r="17" spans="2:4" x14ac:dyDescent="0.25">
      <c r="B17" t="s">
        <v>56</v>
      </c>
      <c r="C17">
        <f>VLOOKUP(B17,[2]Трансп!A$2:CP$32,75,FALSE)/1000</f>
        <v>0</v>
      </c>
      <c r="D17">
        <f>VLOOKUP(B17,[2]Трансп!A$2:CP$32,73,FALSE)/1000</f>
        <v>0</v>
      </c>
    </row>
    <row r="18" spans="2:4" x14ac:dyDescent="0.25">
      <c r="B18" t="s">
        <v>57</v>
      </c>
      <c r="C18">
        <f>VLOOKUP(B18,[2]Трансп!A$2:CP$32,75,FALSE)/1000</f>
        <v>0</v>
      </c>
      <c r="D18">
        <f>VLOOKUP(B18,[2]Трансп!A$2:CP$32,73,FALSE)/1000</f>
        <v>0</v>
      </c>
    </row>
    <row r="19" spans="2:4" x14ac:dyDescent="0.25">
      <c r="B19" t="s">
        <v>58</v>
      </c>
      <c r="C19">
        <f>VLOOKUP(B19,[2]Трансп!A$2:CP$32,75,FALSE)/1000</f>
        <v>0</v>
      </c>
      <c r="D19">
        <f>VLOOKUP(B19,[2]Трансп!A$2:CP$32,73,FALSE)/1000</f>
        <v>0</v>
      </c>
    </row>
    <row r="20" spans="2:4" x14ac:dyDescent="0.25">
      <c r="B20" t="s">
        <v>59</v>
      </c>
      <c r="C20">
        <f>VLOOKUP(B20,[2]Трансп!A$2:CP$32,75,FALSE)/1000</f>
        <v>0</v>
      </c>
      <c r="D20">
        <f>VLOOKUP(B20,[2]Трансп!A$2:CP$32,73,FALSE)/1000</f>
        <v>0</v>
      </c>
    </row>
    <row r="21" spans="2:4" x14ac:dyDescent="0.25">
      <c r="B21" t="s">
        <v>60</v>
      </c>
      <c r="C21">
        <f>VLOOKUP(B21,[2]Трансп!A$2:CP$32,75,FALSE)/1000</f>
        <v>0</v>
      </c>
      <c r="D21">
        <f>VLOOKUP(B21,[2]Трансп!A$2:CP$32,73,FALSE)/1000</f>
        <v>0</v>
      </c>
    </row>
    <row r="22" spans="2:4" x14ac:dyDescent="0.25">
      <c r="B22" t="s">
        <v>86</v>
      </c>
      <c r="C22">
        <f>VLOOKUP(B22,[2]Трансп!A$2:CP$32,75,FALSE)/1000</f>
        <v>330.90807100000001</v>
      </c>
      <c r="D22">
        <f>VLOOKUP(B22,[2]Трансп!A$2:CP$32,73,FALSE)/1000</f>
        <v>157.399</v>
      </c>
    </row>
    <row r="23" spans="2:4" x14ac:dyDescent="0.25">
      <c r="B23" t="s">
        <v>61</v>
      </c>
      <c r="C23">
        <f>VLOOKUP(B23,[2]Трансп!A$2:CP$32,75,FALSE)/1000</f>
        <v>0</v>
      </c>
      <c r="D23">
        <f>VLOOKUP(B23,[2]Трансп!A$2:CP$32,73,FALSE)/1000</f>
        <v>0</v>
      </c>
    </row>
    <row r="24" spans="2:4" x14ac:dyDescent="0.25">
      <c r="B24" t="s">
        <v>62</v>
      </c>
      <c r="C24">
        <f>VLOOKUP(B24,[2]Трансп!A$2:CP$32,75,FALSE)/1000</f>
        <v>0</v>
      </c>
      <c r="D24">
        <f>VLOOKUP(B24,[2]Трансп!A$2:CP$32,73,FALSE)/1000</f>
        <v>0</v>
      </c>
    </row>
    <row r="25" spans="2:4" x14ac:dyDescent="0.25">
      <c r="B25" t="s">
        <v>63</v>
      </c>
      <c r="C25">
        <f>VLOOKUP(B25,[2]Трансп!A$2:CP$32,75,FALSE)/1000</f>
        <v>0</v>
      </c>
      <c r="D25">
        <f>VLOOKUP(B25,[2]Трансп!A$2:CP$32,73,FALSE)/1000</f>
        <v>0</v>
      </c>
    </row>
    <row r="26" spans="2:4" x14ac:dyDescent="0.25">
      <c r="B26" t="s">
        <v>64</v>
      </c>
      <c r="C26">
        <f>VLOOKUP(B26,[2]Трансп!A$2:CP$32,75,FALSE)/1000</f>
        <v>0</v>
      </c>
      <c r="D26">
        <f>VLOOKUP(B26,[2]Трансп!A$2:CP$32,73,FALSE)/1000</f>
        <v>0</v>
      </c>
    </row>
    <row r="27" spans="2:4" x14ac:dyDescent="0.25">
      <c r="B27" t="s">
        <v>65</v>
      </c>
      <c r="C27">
        <f>VLOOKUP(B27,[2]Трансп!A$2:CP$32,75,FALSE)/1000</f>
        <v>0</v>
      </c>
      <c r="D27">
        <f>VLOOKUP(B27,[2]Трансп!A$2:CP$32,73,FALSE)/1000</f>
        <v>0</v>
      </c>
    </row>
    <row r="28" spans="2:4" x14ac:dyDescent="0.25">
      <c r="B28" t="s">
        <v>66</v>
      </c>
      <c r="C28">
        <f>VLOOKUP(B28,[2]Трансп!A$2:CP$32,75,FALSE)/1000</f>
        <v>0</v>
      </c>
      <c r="D28">
        <f>VLOOKUP(B28,[2]Трансп!A$2:CP$32,73,FALSE)/1000</f>
        <v>0</v>
      </c>
    </row>
    <row r="29" spans="2:4" x14ac:dyDescent="0.25">
      <c r="B29" t="s">
        <v>67</v>
      </c>
      <c r="C29">
        <f>VLOOKUP(B29,[2]Трансп!A$2:CP$32,75,FALSE)/1000</f>
        <v>0</v>
      </c>
      <c r="D29">
        <f>VLOOKUP(B29,[2]Трансп!A$2:CP$32,73,FALSE)/1000</f>
        <v>0</v>
      </c>
    </row>
    <row r="30" spans="2:4" x14ac:dyDescent="0.25">
      <c r="B30" t="s">
        <v>68</v>
      </c>
      <c r="C30">
        <f>VLOOKUP(B30,[2]Трансп!A$2:CP$32,75,FALSE)/1000</f>
        <v>0</v>
      </c>
      <c r="D30">
        <f>VLOOKUP(B30,[2]Трансп!A$2:CP$32,73,FALSE)/1000</f>
        <v>0</v>
      </c>
    </row>
    <row r="31" spans="2:4" x14ac:dyDescent="0.25">
      <c r="B31" t="s">
        <v>69</v>
      </c>
      <c r="C31">
        <f>VLOOKUP(B31,[2]Трансп!A$2:CP$32,75,FALSE)/1000</f>
        <v>1665.6410000000001</v>
      </c>
      <c r="D31">
        <f>VLOOKUP(B31,[2]Трансп!A$2:CP$32,73,FALSE)/1000</f>
        <v>259.27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9A5A1-8872-441F-B4CF-414A89F8096E}">
  <dimension ref="A1:F5"/>
  <sheetViews>
    <sheetView workbookViewId="0">
      <selection activeCell="H22" sqref="H22"/>
    </sheetView>
  </sheetViews>
  <sheetFormatPr defaultRowHeight="15" x14ac:dyDescent="0.25"/>
  <cols>
    <col min="2" max="2" width="95.7109375" customWidth="1"/>
    <col min="6" max="6" width="14.140625" customWidth="1"/>
  </cols>
  <sheetData>
    <row r="1" spans="1:6" x14ac:dyDescent="0.25">
      <c r="A1" t="s">
        <v>136</v>
      </c>
    </row>
    <row r="2" spans="1:6" ht="90" x14ac:dyDescent="0.25">
      <c r="A2" s="60" t="s">
        <v>156</v>
      </c>
      <c r="B2" s="61" t="s">
        <v>0</v>
      </c>
      <c r="C2" s="3" t="s">
        <v>157</v>
      </c>
      <c r="D2" s="3" t="s">
        <v>158</v>
      </c>
      <c r="E2" s="1" t="s">
        <v>90</v>
      </c>
    </row>
    <row r="3" spans="1:6" x14ac:dyDescent="0.25">
      <c r="A3" s="29">
        <v>1</v>
      </c>
      <c r="B3" s="69" t="s">
        <v>69</v>
      </c>
      <c r="C3" s="20">
        <f>VLOOKUP(B3,[2]Трансп!A$2:CP$32,75,FALSE)/1000</f>
        <v>1665.6410000000001</v>
      </c>
      <c r="D3" s="20">
        <f>VLOOKUP(B3,[2]Трансп!A$2:CP$32,73,FALSE)/1000</f>
        <v>259.27</v>
      </c>
      <c r="E3" s="30">
        <f>(C3/D3-1)*100</f>
        <v>542.43491341073013</v>
      </c>
      <c r="F3" s="21">
        <v>7716748537</v>
      </c>
    </row>
    <row r="4" spans="1:6" x14ac:dyDescent="0.25">
      <c r="A4" s="29">
        <v>2</v>
      </c>
      <c r="B4" s="69" t="s">
        <v>86</v>
      </c>
      <c r="C4" s="20">
        <f>VLOOKUP(B4,[2]Трансп!A$2:CP$32,75,FALSE)/1000</f>
        <v>330.90807100000001</v>
      </c>
      <c r="D4" s="20">
        <f>VLOOKUP(B4,[2]Трансп!A$2:CP$32,73,FALSE)/1000</f>
        <v>157.399</v>
      </c>
      <c r="E4" s="30">
        <f t="shared" ref="E4:E5" si="0">(C4/D4-1)*100</f>
        <v>110.23518002020344</v>
      </c>
      <c r="F4" s="21" t="s">
        <v>145</v>
      </c>
    </row>
    <row r="5" spans="1:6" x14ac:dyDescent="0.25">
      <c r="A5" s="29">
        <v>3</v>
      </c>
      <c r="B5" s="69" t="s">
        <v>48</v>
      </c>
      <c r="C5" s="20">
        <f>VLOOKUP(B5,[2]Трансп!A$2:CP$32,75,FALSE)/1000</f>
        <v>0</v>
      </c>
      <c r="D5" s="20">
        <f>VLOOKUP(B5,[2]Трансп!A$2:CP$32,73,FALSE)/1000</f>
        <v>2.3370000000000002</v>
      </c>
      <c r="E5" s="30">
        <f t="shared" si="0"/>
        <v>-100</v>
      </c>
      <c r="F5" s="21">
        <v>7733812126</v>
      </c>
    </row>
  </sheetData>
  <sortState xmlns:xlrd2="http://schemas.microsoft.com/office/spreadsheetml/2017/richdata2" ref="A3:E5">
    <sortCondition descending="1" ref="C3:C5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D0E2D-2398-4DCD-8AF9-7D867CFC75F2}">
  <dimension ref="A1:E31"/>
  <sheetViews>
    <sheetView workbookViewId="0">
      <selection activeCell="H16" sqref="H16"/>
    </sheetView>
  </sheetViews>
  <sheetFormatPr defaultRowHeight="15" x14ac:dyDescent="0.25"/>
  <cols>
    <col min="2" max="2" width="95.7109375" customWidth="1"/>
  </cols>
  <sheetData>
    <row r="1" spans="1:5" x14ac:dyDescent="0.25">
      <c r="A1" t="s">
        <v>139</v>
      </c>
    </row>
    <row r="2" spans="1:5" ht="56.25" x14ac:dyDescent="0.25">
      <c r="A2" s="60" t="s">
        <v>112</v>
      </c>
      <c r="B2" s="61" t="s">
        <v>0</v>
      </c>
      <c r="C2" s="1" t="s">
        <v>140</v>
      </c>
      <c r="D2" s="1" t="s">
        <v>141</v>
      </c>
      <c r="E2" s="1" t="s">
        <v>72</v>
      </c>
    </row>
    <row r="3" spans="1:5" x14ac:dyDescent="0.25">
      <c r="B3" t="s">
        <v>42</v>
      </c>
      <c r="C3" s="41">
        <f>VLOOKUP(B3,[2]Трансп!A$2:CP$32,7,FALSE)/1000</f>
        <v>206.61199999999999</v>
      </c>
      <c r="D3" s="41">
        <f>VLOOKUP(B3,[2]Трансп!A$2:CP$32,5,FALSE)/1000</f>
        <v>320.56599999999997</v>
      </c>
    </row>
    <row r="4" spans="1:5" x14ac:dyDescent="0.25">
      <c r="B4" t="s">
        <v>43</v>
      </c>
      <c r="C4" s="41">
        <f>VLOOKUP(B4,[2]Трансп!A$2:CP$32,7,FALSE)/1000</f>
        <v>-62.989451476793249</v>
      </c>
      <c r="D4" s="41">
        <f>VLOOKUP(B4,[2]Трансп!A$2:CP$32,5,FALSE)/1000</f>
        <v>25.513924050632912</v>
      </c>
    </row>
    <row r="5" spans="1:5" x14ac:dyDescent="0.25">
      <c r="B5" t="s">
        <v>44</v>
      </c>
      <c r="C5" s="41">
        <f>VLOOKUP(B5,[2]Трансп!A$2:CP$32,7,FALSE)/1000</f>
        <v>7.4210000000000003</v>
      </c>
      <c r="D5" s="41">
        <f>VLOOKUP(B5,[2]Трансп!A$2:CP$32,5,FALSE)/1000</f>
        <v>1.1659999999999999</v>
      </c>
    </row>
    <row r="6" spans="1:5" x14ac:dyDescent="0.25">
      <c r="B6" t="s">
        <v>45</v>
      </c>
      <c r="C6" s="41">
        <f>VLOOKUP(B6,[2]Трансп!A$2:CP$32,7,FALSE)/1000</f>
        <v>175.55699999999999</v>
      </c>
      <c r="D6" s="41">
        <f>VLOOKUP(B6,[2]Трансп!A$2:CP$32,5,FALSE)/1000</f>
        <v>44.941000000000003</v>
      </c>
    </row>
    <row r="7" spans="1:5" x14ac:dyDescent="0.25">
      <c r="B7" t="s">
        <v>46</v>
      </c>
      <c r="C7" s="41">
        <f>VLOOKUP(B7,[2]Трансп!A$2:CP$32,7,FALSE)/1000</f>
        <v>359.45100000000002</v>
      </c>
      <c r="D7" s="41">
        <f>VLOOKUP(B7,[2]Трансп!A$2:CP$32,5,FALSE)/1000</f>
        <v>268.81200000000001</v>
      </c>
    </row>
    <row r="8" spans="1:5" x14ac:dyDescent="0.25">
      <c r="B8" t="s">
        <v>47</v>
      </c>
      <c r="C8" s="41">
        <f>VLOOKUP(B8,[2]Трансп!A$2:CP$32,7,FALSE)/1000</f>
        <v>109.453</v>
      </c>
      <c r="D8" s="41">
        <f>VLOOKUP(B8,[2]Трансп!A$2:CP$32,5,FALSE)/1000</f>
        <v>94.927999999999997</v>
      </c>
    </row>
    <row r="9" spans="1:5" x14ac:dyDescent="0.25">
      <c r="B9" t="s">
        <v>48</v>
      </c>
      <c r="C9" s="41">
        <f>VLOOKUP(B9,[2]Трансп!A$2:CP$32,7,FALSE)/1000</f>
        <v>184.572</v>
      </c>
      <c r="D9" s="41">
        <f>VLOOKUP(B9,[2]Трансп!A$2:CP$32,5,FALSE)/1000</f>
        <v>119.354</v>
      </c>
    </row>
    <row r="10" spans="1:5" x14ac:dyDescent="0.25">
      <c r="B10" t="s">
        <v>49</v>
      </c>
      <c r="C10" s="41">
        <f>VLOOKUP(B10,[2]Трансп!A$2:CP$32,7,FALSE)/1000</f>
        <v>220.12</v>
      </c>
      <c r="D10" s="41">
        <f>VLOOKUP(B10,[2]Трансп!A$2:CP$32,5,FALSE)/1000</f>
        <v>259.096</v>
      </c>
    </row>
    <row r="11" spans="1:5" x14ac:dyDescent="0.25">
      <c r="B11" t="s">
        <v>50</v>
      </c>
      <c r="C11" s="41">
        <f>VLOOKUP(B11,[2]Трансп!A$2:CP$32,7,FALSE)/1000</f>
        <v>2.0680000000000001</v>
      </c>
      <c r="D11" s="41">
        <f>VLOOKUP(B11,[2]Трансп!A$2:CP$32,5,FALSE)/1000</f>
        <v>3.375</v>
      </c>
    </row>
    <row r="12" spans="1:5" x14ac:dyDescent="0.25">
      <c r="B12" t="s">
        <v>51</v>
      </c>
      <c r="C12" s="41">
        <f>VLOOKUP(B12,[2]Трансп!A$2:CP$32,7,FALSE)/1000</f>
        <v>6.6280000000000001</v>
      </c>
      <c r="D12" s="41">
        <f>VLOOKUP(B12,[2]Трансп!A$2:CP$32,5,FALSE)/1000</f>
        <v>4.3220000000000001</v>
      </c>
    </row>
    <row r="13" spans="1:5" x14ac:dyDescent="0.25">
      <c r="B13" t="s">
        <v>52</v>
      </c>
      <c r="C13" s="41">
        <f>VLOOKUP(B13,[2]Трансп!A$2:CP$32,7,FALSE)/1000</f>
        <v>4.8170000000000002</v>
      </c>
      <c r="D13" s="41">
        <f>VLOOKUP(B13,[2]Трансп!A$2:CP$32,5,FALSE)/1000</f>
        <v>1.2470000000000001</v>
      </c>
    </row>
    <row r="14" spans="1:5" x14ac:dyDescent="0.25">
      <c r="B14" t="s">
        <v>53</v>
      </c>
      <c r="C14" s="41" t="s">
        <v>85</v>
      </c>
      <c r="D14" s="41" t="s">
        <v>85</v>
      </c>
    </row>
    <row r="15" spans="1:5" x14ac:dyDescent="0.25">
      <c r="B15" t="s">
        <v>54</v>
      </c>
      <c r="C15" s="41">
        <f>VLOOKUP(B15,[2]Трансп!A$2:CP$32,7,FALSE)/1000</f>
        <v>864.21100000000001</v>
      </c>
      <c r="D15" s="41">
        <f>VLOOKUP(B15,[2]Трансп!A$2:CP$32,5,FALSE)/1000</f>
        <v>664.51900000000001</v>
      </c>
    </row>
    <row r="16" spans="1:5" x14ac:dyDescent="0.25">
      <c r="B16" t="s">
        <v>55</v>
      </c>
      <c r="C16" s="41">
        <f>VLOOKUP(B16,[2]Трансп!A$2:CP$32,7,FALSE)/1000</f>
        <v>10.307</v>
      </c>
      <c r="D16" s="41">
        <f>VLOOKUP(B16,[2]Трансп!A$2:CP$32,5,FALSE)/1000</f>
        <v>-4.2110000000000003</v>
      </c>
    </row>
    <row r="17" spans="2:4" x14ac:dyDescent="0.25">
      <c r="B17" t="s">
        <v>56</v>
      </c>
      <c r="C17" s="41">
        <f>VLOOKUP(B17,[2]Трансп!A$2:CP$32,7,FALSE)/1000</f>
        <v>180.98070000000001</v>
      </c>
      <c r="D17" s="41">
        <f>VLOOKUP(B17,[2]Трансп!A$2:CP$32,5,FALSE)/1000</f>
        <v>186.3776</v>
      </c>
    </row>
    <row r="18" spans="2:4" x14ac:dyDescent="0.25">
      <c r="B18" t="s">
        <v>57</v>
      </c>
      <c r="C18" s="41">
        <f>VLOOKUP(B18,[2]Трансп!A$2:CP$32,7,FALSE)/1000</f>
        <v>40.823999999999998</v>
      </c>
      <c r="D18" s="41">
        <f>VLOOKUP(B18,[2]Трансп!A$2:CP$32,5,FALSE)/1000</f>
        <v>0</v>
      </c>
    </row>
    <row r="19" spans="2:4" x14ac:dyDescent="0.25">
      <c r="B19" t="s">
        <v>58</v>
      </c>
      <c r="C19" s="41">
        <f>VLOOKUP(B19,[2]Трансп!A$2:CP$32,7,FALSE)/1000</f>
        <v>3.8889999999999998</v>
      </c>
      <c r="D19" s="41">
        <f>VLOOKUP(B19,[2]Трансп!A$2:CP$32,5,FALSE)/1000</f>
        <v>19.561</v>
      </c>
    </row>
    <row r="20" spans="2:4" x14ac:dyDescent="0.25">
      <c r="B20" t="s">
        <v>59</v>
      </c>
      <c r="C20" s="41">
        <f>VLOOKUP(B20,[2]Трансп!A$2:CP$32,7,FALSE)/1000</f>
        <v>51.295999999999999</v>
      </c>
      <c r="D20" s="41">
        <f>VLOOKUP(B20,[2]Трансп!A$2:CP$32,5,FALSE)/1000</f>
        <v>-108.505</v>
      </c>
    </row>
    <row r="21" spans="2:4" x14ac:dyDescent="0.25">
      <c r="B21" t="s">
        <v>60</v>
      </c>
      <c r="C21" s="41">
        <f>VLOOKUP(B21,[2]Трансп!A$2:CP$32,7,FALSE)/1000</f>
        <v>670.35</v>
      </c>
      <c r="D21" s="41">
        <f>VLOOKUP(B21,[2]Трансп!A$2:CP$32,5,FALSE)/1000</f>
        <v>357.339</v>
      </c>
    </row>
    <row r="22" spans="2:4" x14ac:dyDescent="0.25">
      <c r="B22" t="s">
        <v>86</v>
      </c>
      <c r="C22" s="41">
        <f>VLOOKUP(B22,[2]Трансп!A$2:CP$32,7,FALSE)/1000</f>
        <v>238.35599999999999</v>
      </c>
      <c r="D22" s="41">
        <f>VLOOKUP(B22,[2]Трансп!A$2:CP$32,5,FALSE)/1000</f>
        <v>153.67699999999999</v>
      </c>
    </row>
    <row r="23" spans="2:4" x14ac:dyDescent="0.25">
      <c r="B23" t="s">
        <v>61</v>
      </c>
      <c r="C23" s="41">
        <f>VLOOKUP(B23,[2]Трансп!A$2:CP$32,7,FALSE)/1000</f>
        <v>-4.1139999999999999</v>
      </c>
      <c r="D23" s="41">
        <f>VLOOKUP(B23,[2]Трансп!A$2:CP$32,5,FALSE)/1000</f>
        <v>-12.052</v>
      </c>
    </row>
    <row r="24" spans="2:4" x14ac:dyDescent="0.25">
      <c r="B24" t="s">
        <v>62</v>
      </c>
      <c r="C24" s="41">
        <f>VLOOKUP(B24,[2]Трансп!A$2:CP$32,7,FALSE)/1000</f>
        <v>10.913</v>
      </c>
      <c r="D24" s="41">
        <f>VLOOKUP(B24,[2]Трансп!A$2:CP$32,5,FALSE)/1000</f>
        <v>-41.960999999999999</v>
      </c>
    </row>
    <row r="25" spans="2:4" x14ac:dyDescent="0.25">
      <c r="B25" t="s">
        <v>63</v>
      </c>
      <c r="C25" s="41">
        <f>VLOOKUP(B25,[2]Трансп!A$2:CP$32,7,FALSE)/1000</f>
        <v>100.453</v>
      </c>
      <c r="D25" s="41">
        <f>VLOOKUP(B25,[2]Трансп!A$2:CP$32,5,FALSE)/1000</f>
        <v>-91.082999999999998</v>
      </c>
    </row>
    <row r="26" spans="2:4" x14ac:dyDescent="0.25">
      <c r="B26" t="s">
        <v>64</v>
      </c>
      <c r="C26" s="41">
        <f>VLOOKUP(B26,[2]Трансп!A$2:CP$32,7,FALSE)/1000</f>
        <v>-80.768000000000001</v>
      </c>
      <c r="D26" s="41">
        <f>VLOOKUP(B26,[2]Трансп!A$2:CP$32,5,FALSE)/1000</f>
        <v>-4.0259999999999998</v>
      </c>
    </row>
    <row r="27" spans="2:4" x14ac:dyDescent="0.25">
      <c r="B27" t="s">
        <v>65</v>
      </c>
      <c r="C27" s="41">
        <f>VLOOKUP(B27,[2]Трансп!A$2:CP$32,7,FALSE)/1000</f>
        <v>145.405</v>
      </c>
      <c r="D27" s="41">
        <f>VLOOKUP(B27,[2]Трансп!A$2:CP$32,5,FALSE)/1000</f>
        <v>30.135000000000002</v>
      </c>
    </row>
    <row r="28" spans="2:4" x14ac:dyDescent="0.25">
      <c r="B28" t="s">
        <v>66</v>
      </c>
      <c r="C28" s="41">
        <f>VLOOKUP(B28,[2]Трансп!A$2:CP$32,7,FALSE)/1000</f>
        <v>14.337999999999999</v>
      </c>
      <c r="D28" s="41">
        <f>VLOOKUP(B28,[2]Трансп!A$2:CP$32,5,FALSE)/1000</f>
        <v>53.518999999999998</v>
      </c>
    </row>
    <row r="29" spans="2:4" x14ac:dyDescent="0.25">
      <c r="B29" t="s">
        <v>67</v>
      </c>
      <c r="C29" s="41">
        <f>VLOOKUP(B29,[2]Трансп!A$2:CP$32,7,FALSE)/1000</f>
        <v>0.64</v>
      </c>
      <c r="D29" s="41">
        <f>VLOOKUP(B29,[2]Трансп!A$2:CP$32,5,FALSE)/1000</f>
        <v>4.6429999999999998</v>
      </c>
    </row>
    <row r="30" spans="2:4" x14ac:dyDescent="0.25">
      <c r="B30" t="s">
        <v>68</v>
      </c>
      <c r="C30" s="41">
        <f>VLOOKUP(B30,[2]Трансп!A$2:CP$32,7,FALSE)/1000</f>
        <v>432.9537514099996</v>
      </c>
      <c r="D30" s="41">
        <f>VLOOKUP(B30,[2]Трансп!A$2:CP$32,5,FALSE)/1000</f>
        <v>117.01724991999976</v>
      </c>
    </row>
    <row r="31" spans="2:4" x14ac:dyDescent="0.25">
      <c r="B31" t="s">
        <v>69</v>
      </c>
      <c r="C31" s="41">
        <f>VLOOKUP(B31,[2]Трансп!A$2:CP$32,7,FALSE)/1000</f>
        <v>210.54300000000001</v>
      </c>
      <c r="D31" s="41">
        <f>VLOOKUP(B31,[2]Трансп!A$2:CP$32,5,FALSE)/1000</f>
        <v>17.297000000000001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92B6-F3CC-4525-9A47-453DB0F0080F}">
  <dimension ref="A1:F30"/>
  <sheetViews>
    <sheetView workbookViewId="0">
      <selection activeCell="B11" sqref="B11"/>
    </sheetView>
  </sheetViews>
  <sheetFormatPr defaultRowHeight="15" x14ac:dyDescent="0.25"/>
  <cols>
    <col min="2" max="2" width="95.7109375" customWidth="1"/>
    <col min="6" max="6" width="11" bestFit="1" customWidth="1"/>
  </cols>
  <sheetData>
    <row r="1" spans="1:6" x14ac:dyDescent="0.25">
      <c r="A1" t="s">
        <v>170</v>
      </c>
    </row>
    <row r="2" spans="1:6" ht="56.25" x14ac:dyDescent="0.25">
      <c r="A2" s="60" t="s">
        <v>112</v>
      </c>
      <c r="B2" s="61" t="s">
        <v>0</v>
      </c>
      <c r="C2" s="1" t="s">
        <v>140</v>
      </c>
      <c r="D2" s="1" t="s">
        <v>141</v>
      </c>
      <c r="E2" s="1" t="s">
        <v>72</v>
      </c>
    </row>
    <row r="3" spans="1:6" x14ac:dyDescent="0.25">
      <c r="A3" s="29">
        <v>1</v>
      </c>
      <c r="B3" s="69" t="s">
        <v>54</v>
      </c>
      <c r="C3" s="30">
        <f>VLOOKUP(B3,[2]Трансп!A$2:CP$32,7,FALSE)/1000</f>
        <v>864.21100000000001</v>
      </c>
      <c r="D3" s="30">
        <f>VLOOKUP(B3,[2]Трансп!A$2:CP$32,5,FALSE)/1000</f>
        <v>664.51900000000001</v>
      </c>
      <c r="E3" s="30">
        <f>(C3/D3-1)*100</f>
        <v>30.050608033780833</v>
      </c>
      <c r="F3">
        <v>4205271785</v>
      </c>
    </row>
    <row r="4" spans="1:6" x14ac:dyDescent="0.25">
      <c r="A4" s="29">
        <v>2</v>
      </c>
      <c r="B4" s="69" t="s">
        <v>60</v>
      </c>
      <c r="C4" s="30">
        <f>VLOOKUP(B4,[2]Трансп!A$2:CP$32,7,FALSE)/1000</f>
        <v>670.35</v>
      </c>
      <c r="D4" s="30">
        <f>VLOOKUP(B4,[2]Трансп!A$2:CP$32,5,FALSE)/1000</f>
        <v>357.339</v>
      </c>
      <c r="E4" s="30">
        <f>(C4/D4-1)*100</f>
        <v>87.594972840915773</v>
      </c>
      <c r="F4">
        <v>7704784072</v>
      </c>
    </row>
    <row r="5" spans="1:6" x14ac:dyDescent="0.25">
      <c r="A5" s="29">
        <v>3</v>
      </c>
      <c r="B5" s="69" t="s">
        <v>68</v>
      </c>
      <c r="C5" s="30">
        <f>VLOOKUP(B5,[2]Трансп!A$2:CP$32,7,FALSE)/1000</f>
        <v>432.9537514099996</v>
      </c>
      <c r="D5" s="30">
        <f>VLOOKUP(B5,[2]Трансп!A$2:CP$32,5,FALSE)/1000</f>
        <v>117.01724991999976</v>
      </c>
      <c r="E5" s="30">
        <f t="shared" ref="E5:E27" si="0">(C5/D5-1)*100</f>
        <v>269.99139161618785</v>
      </c>
      <c r="F5">
        <v>7733783309</v>
      </c>
    </row>
    <row r="6" spans="1:6" x14ac:dyDescent="0.25">
      <c r="A6" s="29">
        <v>4</v>
      </c>
      <c r="B6" s="69" t="s">
        <v>46</v>
      </c>
      <c r="C6" s="30">
        <f>VLOOKUP(B6,[2]Трансп!A$2:CP$32,7,FALSE)/1000</f>
        <v>359.45100000000002</v>
      </c>
      <c r="D6" s="30">
        <f>VLOOKUP(B6,[2]Трансп!A$2:CP$32,5,FALSE)/1000</f>
        <v>268.81200000000001</v>
      </c>
      <c r="E6" s="30">
        <f t="shared" si="0"/>
        <v>33.718360787464839</v>
      </c>
      <c r="F6">
        <v>5410059568</v>
      </c>
    </row>
    <row r="7" spans="1:6" x14ac:dyDescent="0.25">
      <c r="A7" s="29">
        <v>5</v>
      </c>
      <c r="B7" s="69" t="s">
        <v>86</v>
      </c>
      <c r="C7" s="30">
        <f>VLOOKUP(B7,[2]Трансп!A$2:CP$32,7,FALSE)/1000</f>
        <v>238.35599999999999</v>
      </c>
      <c r="D7" s="30">
        <f>VLOOKUP(B7,[2]Трансп!A$2:CP$32,5,FALSE)/1000</f>
        <v>153.67699999999999</v>
      </c>
      <c r="E7" s="30">
        <f t="shared" si="0"/>
        <v>55.101934577067489</v>
      </c>
      <c r="F7" t="s">
        <v>145</v>
      </c>
    </row>
    <row r="8" spans="1:6" x14ac:dyDescent="0.25">
      <c r="A8" s="29">
        <v>6</v>
      </c>
      <c r="B8" s="69" t="s">
        <v>49</v>
      </c>
      <c r="C8" s="30">
        <f>VLOOKUP(B8,[2]Трансп!A$2:CP$32,7,FALSE)/1000</f>
        <v>220.12</v>
      </c>
      <c r="D8" s="30">
        <f>VLOOKUP(B8,[2]Трансп!A$2:CP$32,5,FALSE)/1000</f>
        <v>259.096</v>
      </c>
      <c r="E8" s="30">
        <f t="shared" si="0"/>
        <v>-15.043072837867044</v>
      </c>
      <c r="F8" t="s">
        <v>150</v>
      </c>
    </row>
    <row r="9" spans="1:6" x14ac:dyDescent="0.25">
      <c r="A9" s="29">
        <v>7</v>
      </c>
      <c r="B9" s="69" t="s">
        <v>69</v>
      </c>
      <c r="C9" s="30">
        <f>VLOOKUP(B9,[2]Трансп!A$2:CP$32,7,FALSE)/1000</f>
        <v>210.54300000000001</v>
      </c>
      <c r="D9" s="30">
        <f>VLOOKUP(B9,[2]Трансп!A$2:CP$32,5,FALSE)/1000</f>
        <v>17.297000000000001</v>
      </c>
      <c r="E9" s="30">
        <f t="shared" si="0"/>
        <v>1117.2226397641209</v>
      </c>
      <c r="F9">
        <v>7716748537</v>
      </c>
    </row>
    <row r="10" spans="1:6" x14ac:dyDescent="0.25">
      <c r="A10" s="29">
        <v>8</v>
      </c>
      <c r="B10" s="69" t="s">
        <v>42</v>
      </c>
      <c r="C10" s="30">
        <f>VLOOKUP(B10,[2]Трансп!A$2:CP$32,7,FALSE)/1000</f>
        <v>206.61199999999999</v>
      </c>
      <c r="D10" s="30">
        <f>VLOOKUP(B10,[2]Трансп!A$2:CP$32,5,FALSE)/1000</f>
        <v>320.56599999999997</v>
      </c>
      <c r="E10" s="30">
        <f t="shared" si="0"/>
        <v>-35.547749917333718</v>
      </c>
      <c r="F10" t="s">
        <v>148</v>
      </c>
    </row>
    <row r="11" spans="1:6" x14ac:dyDescent="0.25">
      <c r="A11" s="29">
        <v>9</v>
      </c>
      <c r="B11" s="69" t="s">
        <v>48</v>
      </c>
      <c r="C11" s="30">
        <f>VLOOKUP(B11,[2]Трансп!A$2:CP$32,7,FALSE)/1000</f>
        <v>184.572</v>
      </c>
      <c r="D11" s="30">
        <f>VLOOKUP(B11,[2]Трансп!A$2:CP$32,5,FALSE)/1000</f>
        <v>119.354</v>
      </c>
      <c r="E11" s="30">
        <f t="shared" si="0"/>
        <v>54.642492082376791</v>
      </c>
      <c r="F11">
        <v>7733812126</v>
      </c>
    </row>
    <row r="12" spans="1:6" x14ac:dyDescent="0.25">
      <c r="A12" s="29">
        <v>10</v>
      </c>
      <c r="B12" s="69" t="s">
        <v>56</v>
      </c>
      <c r="C12" s="30">
        <f>VLOOKUP(B12,[2]Трансп!A$2:CP$32,7,FALSE)/1000</f>
        <v>180.98070000000001</v>
      </c>
      <c r="D12" s="30">
        <f>VLOOKUP(B12,[2]Трансп!A$2:CP$32,5,FALSE)/1000</f>
        <v>186.3776</v>
      </c>
      <c r="E12" s="30">
        <f t="shared" si="0"/>
        <v>-2.8956805968099131</v>
      </c>
      <c r="F12">
        <v>7730634468</v>
      </c>
    </row>
    <row r="13" spans="1:6" x14ac:dyDescent="0.25">
      <c r="A13" s="29">
        <v>11</v>
      </c>
      <c r="B13" s="69" t="s">
        <v>45</v>
      </c>
      <c r="C13" s="30">
        <f>VLOOKUP(B13,[2]Трансп!A$2:CP$32,7,FALSE)/1000</f>
        <v>175.55699999999999</v>
      </c>
      <c r="D13" s="30">
        <f>VLOOKUP(B13,[2]Трансп!A$2:CP$32,5,FALSE)/1000</f>
        <v>44.941000000000003</v>
      </c>
      <c r="E13" s="30">
        <f t="shared" si="0"/>
        <v>290.63883758705856</v>
      </c>
      <c r="F13">
        <v>5407973316</v>
      </c>
    </row>
    <row r="14" spans="1:6" x14ac:dyDescent="0.25">
      <c r="A14" s="29">
        <v>12</v>
      </c>
      <c r="B14" s="69" t="s">
        <v>65</v>
      </c>
      <c r="C14" s="30">
        <f>VLOOKUP(B14,[2]Трансп!A$2:CP$32,7,FALSE)/1000</f>
        <v>145.405</v>
      </c>
      <c r="D14" s="30">
        <f>VLOOKUP(B14,[2]Трансп!A$2:CP$32,5,FALSE)/1000</f>
        <v>30.135000000000002</v>
      </c>
      <c r="E14" s="30">
        <f t="shared" si="0"/>
        <v>382.51202920192463</v>
      </c>
      <c r="F14" t="s">
        <v>146</v>
      </c>
    </row>
    <row r="15" spans="1:6" x14ac:dyDescent="0.25">
      <c r="A15" s="29">
        <v>13</v>
      </c>
      <c r="B15" s="69" t="s">
        <v>47</v>
      </c>
      <c r="C15" s="30">
        <f>VLOOKUP(B15,[2]Трансп!A$2:CP$32,7,FALSE)/1000</f>
        <v>109.453</v>
      </c>
      <c r="D15" s="30">
        <f>VLOOKUP(B15,[2]Трансп!A$2:CP$32,5,FALSE)/1000</f>
        <v>94.927999999999997</v>
      </c>
      <c r="E15" s="30">
        <f t="shared" si="0"/>
        <v>15.301070284847462</v>
      </c>
      <c r="F15">
        <v>5407487242</v>
      </c>
    </row>
    <row r="16" spans="1:6" x14ac:dyDescent="0.25">
      <c r="A16" s="29">
        <v>14</v>
      </c>
      <c r="B16" s="69" t="s">
        <v>63</v>
      </c>
      <c r="C16" s="30">
        <f>VLOOKUP(B16,[2]Трансп!A$2:CP$32,7,FALSE)/1000</f>
        <v>100.453</v>
      </c>
      <c r="D16" s="30">
        <f>VLOOKUP(B16,[2]Трансп!A$2:CP$32,5,FALSE)/1000</f>
        <v>-91.082999999999998</v>
      </c>
      <c r="E16" s="30">
        <f t="shared" si="0"/>
        <v>-210.28732035615869</v>
      </c>
      <c r="F16" t="s">
        <v>151</v>
      </c>
    </row>
    <row r="17" spans="1:6" x14ac:dyDescent="0.25">
      <c r="A17" s="29">
        <v>15</v>
      </c>
      <c r="B17" s="69" t="s">
        <v>59</v>
      </c>
      <c r="C17" s="30">
        <f>VLOOKUP(B17,[2]Трансп!A$2:CP$32,7,FALSE)/1000</f>
        <v>51.295999999999999</v>
      </c>
      <c r="D17" s="30">
        <f>VLOOKUP(B17,[2]Трансп!A$2:CP$32,5,FALSE)/1000</f>
        <v>-108.505</v>
      </c>
      <c r="E17" s="30" t="s">
        <v>100</v>
      </c>
      <c r="F17">
        <v>7724889891</v>
      </c>
    </row>
    <row r="18" spans="1:6" x14ac:dyDescent="0.25">
      <c r="A18" s="29">
        <v>16</v>
      </c>
      <c r="B18" s="69" t="s">
        <v>57</v>
      </c>
      <c r="C18" s="30">
        <f>VLOOKUP(B18,[2]Трансп!A$2:CP$32,7,FALSE)/1000</f>
        <v>40.823999999999998</v>
      </c>
      <c r="D18" s="30">
        <f>VLOOKUP(B18,[2]Трансп!A$2:CP$32,5,FALSE)/1000</f>
        <v>0</v>
      </c>
      <c r="E18" s="30" t="s">
        <v>100</v>
      </c>
      <c r="F18">
        <v>1659182700</v>
      </c>
    </row>
    <row r="19" spans="1:6" x14ac:dyDescent="0.25">
      <c r="A19" s="29">
        <v>17</v>
      </c>
      <c r="B19" s="69" t="s">
        <v>66</v>
      </c>
      <c r="C19" s="30">
        <f>VLOOKUP(B19,[2]Трансп!A$2:CP$32,7,FALSE)/1000</f>
        <v>14.337999999999999</v>
      </c>
      <c r="D19" s="30">
        <f>VLOOKUP(B19,[2]Трансп!A$2:CP$32,5,FALSE)/1000</f>
        <v>53.518999999999998</v>
      </c>
      <c r="E19" s="30" t="s">
        <v>100</v>
      </c>
      <c r="F19">
        <v>4205219217</v>
      </c>
    </row>
    <row r="20" spans="1:6" x14ac:dyDescent="0.25">
      <c r="A20" s="29">
        <v>18</v>
      </c>
      <c r="B20" s="69" t="s">
        <v>62</v>
      </c>
      <c r="C20" s="30">
        <f>VLOOKUP(B20,[2]Трансп!A$2:CP$32,7,FALSE)/1000</f>
        <v>10.913</v>
      </c>
      <c r="D20" s="30">
        <f>VLOOKUP(B20,[2]Трансп!A$2:CP$32,5,FALSE)/1000</f>
        <v>-41.960999999999999</v>
      </c>
      <c r="E20" s="30" t="s">
        <v>100</v>
      </c>
      <c r="F20">
        <v>7838492459</v>
      </c>
    </row>
    <row r="21" spans="1:6" x14ac:dyDescent="0.25">
      <c r="A21" s="29">
        <v>19</v>
      </c>
      <c r="B21" s="69" t="s">
        <v>55</v>
      </c>
      <c r="C21" s="30">
        <f>VLOOKUP(B21,[2]Трансп!A$2:CP$32,7,FALSE)/1000</f>
        <v>10.307</v>
      </c>
      <c r="D21" s="30">
        <f>VLOOKUP(B21,[2]Трансп!A$2:CP$32,5,FALSE)/1000</f>
        <v>-4.2110000000000003</v>
      </c>
      <c r="E21" s="30" t="s">
        <v>100</v>
      </c>
      <c r="F21">
        <v>5260355389</v>
      </c>
    </row>
    <row r="22" spans="1:6" x14ac:dyDescent="0.25">
      <c r="A22" s="29">
        <v>20</v>
      </c>
      <c r="B22" s="69" t="s">
        <v>44</v>
      </c>
      <c r="C22" s="30">
        <f>VLOOKUP(B22,[2]Трансп!A$2:CP$32,7,FALSE)/1000</f>
        <v>7.4210000000000003</v>
      </c>
      <c r="D22" s="30">
        <f>VLOOKUP(B22,[2]Трансп!A$2:CP$32,5,FALSE)/1000</f>
        <v>1.1659999999999999</v>
      </c>
      <c r="E22" s="30">
        <f t="shared" si="0"/>
        <v>536.44939965694687</v>
      </c>
      <c r="F22">
        <v>7704472891</v>
      </c>
    </row>
    <row r="23" spans="1:6" x14ac:dyDescent="0.25">
      <c r="A23" s="29">
        <v>21</v>
      </c>
      <c r="B23" s="69" t="s">
        <v>51</v>
      </c>
      <c r="C23" s="30">
        <f>VLOOKUP(B23,[2]Трансп!A$2:CP$32,7,FALSE)/1000</f>
        <v>6.6280000000000001</v>
      </c>
      <c r="D23" s="30">
        <f>VLOOKUP(B23,[2]Трансп!A$2:CP$32,5,FALSE)/1000</f>
        <v>4.3220000000000001</v>
      </c>
      <c r="E23" s="30">
        <f t="shared" si="0"/>
        <v>53.354928273947252</v>
      </c>
      <c r="F23">
        <v>7704493556</v>
      </c>
    </row>
    <row r="24" spans="1:6" x14ac:dyDescent="0.25">
      <c r="A24" s="29">
        <v>22</v>
      </c>
      <c r="B24" s="69" t="s">
        <v>52</v>
      </c>
      <c r="C24" s="30">
        <f>VLOOKUP(B24,[2]Трансп!A$2:CP$32,7,FALSE)/1000</f>
        <v>4.8170000000000002</v>
      </c>
      <c r="D24" s="30">
        <f>VLOOKUP(B24,[2]Трансп!A$2:CP$32,5,FALSE)/1000</f>
        <v>1.2470000000000001</v>
      </c>
      <c r="E24" s="30">
        <f t="shared" si="0"/>
        <v>286.28708901363268</v>
      </c>
      <c r="F24">
        <v>3123449916</v>
      </c>
    </row>
    <row r="25" spans="1:6" x14ac:dyDescent="0.25">
      <c r="A25" s="29">
        <v>23</v>
      </c>
      <c r="B25" s="69" t="s">
        <v>58</v>
      </c>
      <c r="C25" s="30">
        <f>VLOOKUP(B25,[2]Трансп!A$2:CP$32,7,FALSE)/1000</f>
        <v>3.8889999999999998</v>
      </c>
      <c r="D25" s="30">
        <f>VLOOKUP(B25,[2]Трансп!A$2:CP$32,5,FALSE)/1000</f>
        <v>19.561</v>
      </c>
      <c r="E25" s="30">
        <f t="shared" si="0"/>
        <v>-80.118603343387349</v>
      </c>
      <c r="F25">
        <v>5501246928</v>
      </c>
    </row>
    <row r="26" spans="1:6" x14ac:dyDescent="0.25">
      <c r="A26" s="29">
        <v>24</v>
      </c>
      <c r="B26" s="69" t="s">
        <v>50</v>
      </c>
      <c r="C26" s="30">
        <f>VLOOKUP(B26,[2]Трансп!A$2:CP$32,7,FALSE)/1000</f>
        <v>2.0680000000000001</v>
      </c>
      <c r="D26" s="30">
        <f>VLOOKUP(B26,[2]Трансп!A$2:CP$32,5,FALSE)/1000</f>
        <v>3.375</v>
      </c>
      <c r="E26" s="30">
        <f t="shared" si="0"/>
        <v>-38.725925925925921</v>
      </c>
      <c r="F26">
        <v>2465260220</v>
      </c>
    </row>
    <row r="27" spans="1:6" x14ac:dyDescent="0.25">
      <c r="A27" s="29">
        <v>25</v>
      </c>
      <c r="B27" s="69" t="s">
        <v>67</v>
      </c>
      <c r="C27" s="30">
        <f>VLOOKUP(B27,[2]Трансп!A$2:CP$32,7,FALSE)/1000</f>
        <v>0.64</v>
      </c>
      <c r="D27" s="30">
        <f>VLOOKUP(B27,[2]Трансп!A$2:CP$32,5,FALSE)/1000</f>
        <v>4.6429999999999998</v>
      </c>
      <c r="E27" s="30">
        <f t="shared" si="0"/>
        <v>-86.215808744346319</v>
      </c>
      <c r="F27">
        <v>1831178411</v>
      </c>
    </row>
    <row r="28" spans="1:6" x14ac:dyDescent="0.25">
      <c r="A28" s="29">
        <v>26</v>
      </c>
      <c r="B28" s="69" t="s">
        <v>61</v>
      </c>
      <c r="C28" s="30">
        <f>VLOOKUP(B28,[2]Трансп!A$2:CP$32,7,FALSE)/1000</f>
        <v>-4.1139999999999999</v>
      </c>
      <c r="D28" s="30">
        <f>VLOOKUP(B28,[2]Трансп!A$2:CP$32,5,FALSE)/1000</f>
        <v>-12.052</v>
      </c>
      <c r="E28" s="30" t="s">
        <v>100</v>
      </c>
      <c r="F28">
        <v>7705974076</v>
      </c>
    </row>
    <row r="29" spans="1:6" x14ac:dyDescent="0.25">
      <c r="A29" s="29">
        <v>27</v>
      </c>
      <c r="B29" s="69" t="s">
        <v>43</v>
      </c>
      <c r="C29" s="30">
        <f>VLOOKUP(B29,[2]Трансп!A$2:CP$32,7,FALSE)/1000</f>
        <v>-62.989451476793249</v>
      </c>
      <c r="D29" s="30">
        <f>VLOOKUP(B29,[2]Трансп!A$2:CP$32,5,FALSE)/1000</f>
        <v>25.513924050632912</v>
      </c>
      <c r="E29" s="30" t="s">
        <v>100</v>
      </c>
      <c r="F29">
        <v>7703381419</v>
      </c>
    </row>
    <row r="30" spans="1:6" x14ac:dyDescent="0.25">
      <c r="A30" s="29">
        <v>28</v>
      </c>
      <c r="B30" s="69" t="s">
        <v>64</v>
      </c>
      <c r="C30" s="30">
        <f>VLOOKUP(B30,[2]Трансп!A$2:CP$32,7,FALSE)/1000</f>
        <v>-80.768000000000001</v>
      </c>
      <c r="D30" s="30">
        <f>VLOOKUP(B30,[2]Трансп!A$2:CP$32,5,FALSE)/1000</f>
        <v>-4.0259999999999998</v>
      </c>
      <c r="E30" s="30" t="s">
        <v>100</v>
      </c>
      <c r="F30">
        <v>5260271530</v>
      </c>
    </row>
  </sheetData>
  <sortState xmlns:xlrd2="http://schemas.microsoft.com/office/spreadsheetml/2017/richdata2" ref="A3:E30">
    <sortCondition descending="1" ref="C3:C30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D42D-4185-4E23-9191-C015D54670F8}">
  <dimension ref="A1:E31"/>
  <sheetViews>
    <sheetView workbookViewId="0">
      <selection activeCell="I14" sqref="I14"/>
    </sheetView>
  </sheetViews>
  <sheetFormatPr defaultRowHeight="15" x14ac:dyDescent="0.25"/>
  <cols>
    <col min="2" max="2" width="95.7109375" customWidth="1"/>
  </cols>
  <sheetData>
    <row r="1" spans="1:5" x14ac:dyDescent="0.25">
      <c r="A1" t="s">
        <v>162</v>
      </c>
    </row>
    <row r="2" spans="1:5" ht="78.75" x14ac:dyDescent="0.25">
      <c r="A2" s="60" t="s">
        <v>112</v>
      </c>
      <c r="B2" s="61" t="s">
        <v>0</v>
      </c>
      <c r="C2" s="77" t="s">
        <v>161</v>
      </c>
      <c r="D2" s="77" t="s">
        <v>160</v>
      </c>
      <c r="E2" s="77" t="s">
        <v>72</v>
      </c>
    </row>
    <row r="3" spans="1:5" x14ac:dyDescent="0.25">
      <c r="B3" t="s">
        <v>42</v>
      </c>
      <c r="C3" s="82">
        <f>VLOOKUP(B3,[3]Трансп!$A$3:$M$32,7,FALSE)</f>
        <v>2.5705970825477751</v>
      </c>
      <c r="D3" s="82">
        <f>VLOOKUP(B3,[3]Трансп!$A$3:$M$32,5,FALSE)</f>
        <v>1.5532194130853729</v>
      </c>
      <c r="E3">
        <f>(C3/D3-1)*100</f>
        <v>65.501220297101838</v>
      </c>
    </row>
    <row r="4" spans="1:5" x14ac:dyDescent="0.25">
      <c r="B4" t="s">
        <v>43</v>
      </c>
      <c r="C4" s="82">
        <f>VLOOKUP(B4,[3]Трансп!$A$3:$M$32,7,FALSE)</f>
        <v>0</v>
      </c>
      <c r="D4" s="82">
        <f>VLOOKUP(B4,[3]Трансп!$A$3:$M$32,5,FALSE)</f>
        <v>0</v>
      </c>
      <c r="E4" t="e">
        <f t="shared" ref="E4:E31" si="0">(C4/D4-1)*100</f>
        <v>#DIV/0!</v>
      </c>
    </row>
    <row r="5" spans="1:5" x14ac:dyDescent="0.25">
      <c r="B5" t="s">
        <v>44</v>
      </c>
      <c r="C5" s="82">
        <f>VLOOKUP(B5,[3]Трансп!$A$3:$M$32,7,FALSE)</f>
        <v>4</v>
      </c>
      <c r="D5" s="82">
        <f>VLOOKUP(B5,[3]Трансп!$A$3:$M$32,5,FALSE)</f>
        <v>3</v>
      </c>
      <c r="E5">
        <f t="shared" si="0"/>
        <v>33.333333333333329</v>
      </c>
    </row>
    <row r="6" spans="1:5" x14ac:dyDescent="0.25">
      <c r="B6" t="s">
        <v>45</v>
      </c>
      <c r="C6" s="82">
        <f>VLOOKUP(B6,[3]Трансп!$A$3:$M$32,7,FALSE)</f>
        <v>2.1890000000000001</v>
      </c>
      <c r="D6" s="82">
        <f>VLOOKUP(B6,[3]Трансп!$A$3:$M$32,5,FALSE)</f>
        <v>1.534</v>
      </c>
      <c r="E6">
        <f t="shared" si="0"/>
        <v>42.698826597131692</v>
      </c>
    </row>
    <row r="7" spans="1:5" x14ac:dyDescent="0.25">
      <c r="B7" t="s">
        <v>46</v>
      </c>
      <c r="C7" s="82">
        <f>VLOOKUP(B7,[3]Трансп!$A$3:$M$32,7,FALSE)</f>
        <v>0.9</v>
      </c>
      <c r="D7" s="82">
        <f>VLOOKUP(B7,[3]Трансп!$A$3:$M$32,5,FALSE)</f>
        <v>0.6</v>
      </c>
      <c r="E7">
        <f t="shared" si="0"/>
        <v>50</v>
      </c>
    </row>
    <row r="8" spans="1:5" x14ac:dyDescent="0.25">
      <c r="B8" t="s">
        <v>47</v>
      </c>
      <c r="C8" s="82">
        <f>VLOOKUP(B8,[3]Трансп!$A$3:$M$32,7,FALSE)</f>
        <v>0</v>
      </c>
      <c r="D8" s="82">
        <f>VLOOKUP(B8,[3]Трансп!$A$3:$M$32,5,FALSE)</f>
        <v>0</v>
      </c>
      <c r="E8" t="e">
        <f t="shared" si="0"/>
        <v>#DIV/0!</v>
      </c>
    </row>
    <row r="9" spans="1:5" x14ac:dyDescent="0.25">
      <c r="B9" t="s">
        <v>48</v>
      </c>
      <c r="C9" s="82">
        <f>VLOOKUP(B9,[3]Трансп!$A$3:$M$32,7,FALSE)/1000</f>
        <v>3.3319999999999999</v>
      </c>
      <c r="D9" s="82">
        <f>VLOOKUP(B9,[3]Трансп!$A$3:$M$32,5,FALSE)/1000</f>
        <v>1.956</v>
      </c>
      <c r="E9">
        <f t="shared" si="0"/>
        <v>70.347648261758678</v>
      </c>
    </row>
    <row r="10" spans="1:5" x14ac:dyDescent="0.25">
      <c r="B10" t="s">
        <v>49</v>
      </c>
      <c r="C10" s="82">
        <f>VLOOKUP(B10,[3]Трансп!$A$3:$M$32,7,FALSE)</f>
        <v>0</v>
      </c>
      <c r="D10" s="82">
        <f>VLOOKUP(B10,[3]Трансп!$A$3:$M$32,5,FALSE)</f>
        <v>0</v>
      </c>
      <c r="E10" t="e">
        <f t="shared" si="0"/>
        <v>#DIV/0!</v>
      </c>
    </row>
    <row r="11" spans="1:5" x14ac:dyDescent="0.25">
      <c r="B11" t="s">
        <v>50</v>
      </c>
      <c r="C11" s="82">
        <f>VLOOKUP(B11,[3]Трансп!$A$3:$M$32,7,FALSE)/1000</f>
        <v>1.524</v>
      </c>
      <c r="D11" s="82">
        <f>VLOOKUP(B11,[3]Трансп!$A$3:$M$32,5,FALSE)/1000</f>
        <v>2.226</v>
      </c>
      <c r="E11">
        <f t="shared" si="0"/>
        <v>-31.536388140161719</v>
      </c>
    </row>
    <row r="12" spans="1:5" x14ac:dyDescent="0.25">
      <c r="B12" t="s">
        <v>51</v>
      </c>
      <c r="C12" s="82">
        <f>VLOOKUP(B12,[3]Трансп!$A$3:$M$32,7,FALSE)</f>
        <v>1.7</v>
      </c>
      <c r="D12" s="82">
        <f>VLOOKUP(B12,[3]Трансп!$A$3:$M$32,5,FALSE)</f>
        <v>1.25</v>
      </c>
      <c r="E12">
        <f t="shared" si="0"/>
        <v>35.999999999999986</v>
      </c>
    </row>
    <row r="13" spans="1:5" x14ac:dyDescent="0.25">
      <c r="B13" t="s">
        <v>52</v>
      </c>
      <c r="C13" s="82">
        <f>VLOOKUP(B13,[3]Трансп!$A$3:$M$32,7,FALSE)</f>
        <v>3.6</v>
      </c>
      <c r="D13" s="82">
        <f>VLOOKUP(B13,[3]Трансп!$A$3:$M$32,5,FALSE)</f>
        <v>3.1</v>
      </c>
      <c r="E13">
        <f t="shared" si="0"/>
        <v>16.129032258064523</v>
      </c>
    </row>
    <row r="14" spans="1:5" x14ac:dyDescent="0.25">
      <c r="B14" t="s">
        <v>53</v>
      </c>
      <c r="C14" s="82" t="str">
        <f>VLOOKUP(B14,[3]Трансп!$A$3:$M$32,7,FALSE)</f>
        <v>-</v>
      </c>
      <c r="D14" s="82" t="str">
        <f>VLOOKUP(B14,[3]Трансп!$A$3:$M$32,5,FALSE)</f>
        <v>-</v>
      </c>
      <c r="E14" t="e">
        <f t="shared" si="0"/>
        <v>#VALUE!</v>
      </c>
    </row>
    <row r="15" spans="1:5" x14ac:dyDescent="0.25">
      <c r="B15" t="s">
        <v>54</v>
      </c>
      <c r="C15" s="82">
        <f>VLOOKUP(B15,[3]Трансп!$A$3:$M$32,7,FALSE)</f>
        <v>0</v>
      </c>
      <c r="D15" s="82">
        <f>VLOOKUP(B15,[3]Трансп!$A$3:$M$32,5,FALSE)</f>
        <v>0</v>
      </c>
      <c r="E15" t="e">
        <f t="shared" si="0"/>
        <v>#DIV/0!</v>
      </c>
    </row>
    <row r="16" spans="1:5" x14ac:dyDescent="0.25">
      <c r="B16" t="s">
        <v>55</v>
      </c>
      <c r="C16" s="82">
        <f>VLOOKUP(B16,[3]Трансп!$A$3:$M$32,7,FALSE)/1000</f>
        <v>2.8610000000000002</v>
      </c>
      <c r="D16" s="82">
        <f>VLOOKUP(B16,[3]Трансп!$A$3:$M$32,5,FALSE)/1000</f>
        <v>1.5640000000000001</v>
      </c>
      <c r="E16">
        <f t="shared" si="0"/>
        <v>82.92838874680308</v>
      </c>
    </row>
    <row r="17" spans="2:5" x14ac:dyDescent="0.25">
      <c r="B17" t="s">
        <v>56</v>
      </c>
      <c r="C17" s="82">
        <f>VLOOKUP(B17,[3]Трансп!$A$3:$M$32,7,FALSE)/1000</f>
        <v>15.64</v>
      </c>
      <c r="D17" s="82">
        <f>VLOOKUP(B17,[3]Трансп!$A$3:$M$32,5,FALSE)/1000</f>
        <v>13.784000000000001</v>
      </c>
      <c r="E17">
        <f t="shared" si="0"/>
        <v>13.464886825304689</v>
      </c>
    </row>
    <row r="18" spans="2:5" x14ac:dyDescent="0.25">
      <c r="B18" t="s">
        <v>57</v>
      </c>
      <c r="C18" s="82">
        <f>VLOOKUP(B18,[3]Трансп!$A$3:$M$32,7,FALSE)</f>
        <v>2.4209999999999998</v>
      </c>
      <c r="D18" s="82">
        <f>VLOOKUP(B18,[3]Трансп!$A$3:$M$32,5,FALSE)</f>
        <v>0.59199999999999997</v>
      </c>
      <c r="E18">
        <f t="shared" si="0"/>
        <v>308.95270270270271</v>
      </c>
    </row>
    <row r="19" spans="2:5" x14ac:dyDescent="0.25">
      <c r="B19" t="s">
        <v>58</v>
      </c>
      <c r="C19" s="82">
        <f>VLOOKUP(B19,[3]Трансп!$A$3:$M$32,7,FALSE)</f>
        <v>1.6819999999999999</v>
      </c>
      <c r="D19" s="82">
        <f>VLOOKUP(B19,[3]Трансп!$A$3:$M$32,5,FALSE)</f>
        <v>0.98</v>
      </c>
      <c r="E19">
        <f t="shared" si="0"/>
        <v>71.632653061224488</v>
      </c>
    </row>
    <row r="20" spans="2:5" x14ac:dyDescent="0.25">
      <c r="B20" t="s">
        <v>59</v>
      </c>
      <c r="C20" s="82">
        <f>VLOOKUP(B20,[3]Трансп!$A$3:$M$32,7,FALSE)</f>
        <v>2.1</v>
      </c>
      <c r="D20" s="82">
        <f>VLOOKUP(B20,[3]Трансп!$A$3:$M$32,5,FALSE)</f>
        <v>2</v>
      </c>
      <c r="E20">
        <f t="shared" si="0"/>
        <v>5.0000000000000044</v>
      </c>
    </row>
    <row r="21" spans="2:5" x14ac:dyDescent="0.25">
      <c r="B21" t="s">
        <v>60</v>
      </c>
      <c r="C21" s="82">
        <f>VLOOKUP(B21,[3]Трансп!$A$3:$M$32,7,FALSE)</f>
        <v>2.4039999999999999</v>
      </c>
      <c r="D21" s="82">
        <f>VLOOKUP(B21,[3]Трансп!$A$3:$M$32,5,FALSE)</f>
        <v>1.9670000000000001</v>
      </c>
      <c r="E21">
        <f t="shared" si="0"/>
        <v>22.216573462125044</v>
      </c>
    </row>
    <row r="22" spans="2:5" x14ac:dyDescent="0.25">
      <c r="B22" t="s">
        <v>86</v>
      </c>
      <c r="C22" s="82">
        <f>VLOOKUP(B22,[3]Трансп!$A$3:$M$32,7,FALSE)</f>
        <v>0</v>
      </c>
      <c r="D22" s="82">
        <f>VLOOKUP(B22,[3]Трансп!$A$3:$M$32,5,FALSE)</f>
        <v>0</v>
      </c>
      <c r="E22" t="e">
        <f t="shared" si="0"/>
        <v>#DIV/0!</v>
      </c>
    </row>
    <row r="23" spans="2:5" x14ac:dyDescent="0.25">
      <c r="B23" t="s">
        <v>61</v>
      </c>
      <c r="C23" s="82">
        <f>VLOOKUP(B23,[3]Трансп!$A$3:$M$32,7,FALSE)/1000</f>
        <v>2.1219999999999999</v>
      </c>
      <c r="D23" s="82">
        <f>VLOOKUP(B23,[3]Трансп!$A$3:$M$32,5,FALSE)/1000</f>
        <v>1.5744</v>
      </c>
      <c r="E23">
        <f t="shared" si="0"/>
        <v>34.781504065040636</v>
      </c>
    </row>
    <row r="24" spans="2:5" x14ac:dyDescent="0.25">
      <c r="B24" t="s">
        <v>62</v>
      </c>
      <c r="C24" s="82">
        <f>VLOOKUP(B24,[3]Трансп!$A$3:$M$32,7,FALSE)</f>
        <v>0</v>
      </c>
      <c r="D24" s="82">
        <f>VLOOKUP(B24,[3]Трансп!$A$3:$M$32,5,FALSE)</f>
        <v>0</v>
      </c>
      <c r="E24" t="e">
        <f t="shared" si="0"/>
        <v>#DIV/0!</v>
      </c>
    </row>
    <row r="25" spans="2:5" x14ac:dyDescent="0.25">
      <c r="B25" t="s">
        <v>63</v>
      </c>
      <c r="C25" s="82">
        <f>VLOOKUP(B25,[3]Трансп!$A$3:$M$32,7,FALSE)</f>
        <v>2</v>
      </c>
      <c r="D25" s="82">
        <f>VLOOKUP(B25,[3]Трансп!$A$3:$M$32,5,FALSE)</f>
        <v>1.9</v>
      </c>
      <c r="E25">
        <f t="shared" si="0"/>
        <v>5.2631578947368363</v>
      </c>
    </row>
    <row r="26" spans="2:5" x14ac:dyDescent="0.25">
      <c r="B26" t="s">
        <v>64</v>
      </c>
      <c r="C26" s="82">
        <f>VLOOKUP(B26,[3]Трансп!$A$3:$M$32,7,FALSE)/1000</f>
        <v>1.3149999999999999</v>
      </c>
      <c r="D26" s="82">
        <f>VLOOKUP(B26,[3]Трансп!$A$3:$M$32,5,FALSE)/1000</f>
        <v>0.64400000000000002</v>
      </c>
      <c r="E26">
        <f t="shared" si="0"/>
        <v>104.19254658385091</v>
      </c>
    </row>
    <row r="27" spans="2:5" x14ac:dyDescent="0.25">
      <c r="B27" t="s">
        <v>65</v>
      </c>
      <c r="C27" s="82">
        <f>VLOOKUP(B27,[3]Трансп!$A$3:$M$32,7,FALSE)</f>
        <v>0</v>
      </c>
      <c r="D27" s="82">
        <f>VLOOKUP(B27,[3]Трансп!$A$3:$M$32,5,FALSE)</f>
        <v>0</v>
      </c>
      <c r="E27" t="e">
        <f t="shared" si="0"/>
        <v>#DIV/0!</v>
      </c>
    </row>
    <row r="28" spans="2:5" x14ac:dyDescent="0.25">
      <c r="B28" t="s">
        <v>66</v>
      </c>
      <c r="C28" s="82">
        <f>VLOOKUP(B28,[3]Трансп!$A$3:$M$32,7,FALSE)/1000</f>
        <v>1.4</v>
      </c>
      <c r="D28" s="82">
        <f>VLOOKUP(B28,[3]Трансп!$A$3:$M$32,5,FALSE)/1000</f>
        <v>1</v>
      </c>
      <c r="E28">
        <f t="shared" si="0"/>
        <v>39.999999999999993</v>
      </c>
    </row>
    <row r="29" spans="2:5" x14ac:dyDescent="0.25">
      <c r="B29" t="s">
        <v>67</v>
      </c>
      <c r="C29" s="82">
        <f>VLOOKUP(B29,[3]Трансп!$A$3:$M$32,7,FALSE)</f>
        <v>2.8</v>
      </c>
      <c r="D29" s="82">
        <f>VLOOKUP(B29,[3]Трансп!$A$3:$M$32,5,FALSE)</f>
        <v>2.8</v>
      </c>
      <c r="E29">
        <f t="shared" si="0"/>
        <v>0</v>
      </c>
    </row>
    <row r="30" spans="2:5" x14ac:dyDescent="0.25">
      <c r="B30" t="s">
        <v>68</v>
      </c>
      <c r="C30" s="82">
        <f>VLOOKUP(B30,[3]Трансп!$A$3:$M$32,7,FALSE)</f>
        <v>0</v>
      </c>
      <c r="D30" s="82">
        <f>VLOOKUP(B30,[3]Трансп!$A$3:$M$32,5,FALSE)</f>
        <v>0</v>
      </c>
      <c r="E30" t="e">
        <f t="shared" si="0"/>
        <v>#DIV/0!</v>
      </c>
    </row>
    <row r="31" spans="2:5" x14ac:dyDescent="0.25">
      <c r="B31" t="s">
        <v>69</v>
      </c>
      <c r="C31" s="82">
        <f>VLOOKUP(B31,[3]Трансп!$A$3:$M$32,7,FALSE)</f>
        <v>1.5</v>
      </c>
      <c r="D31" s="82">
        <f>VLOOKUP(B31,[3]Трансп!$A$3:$M$32,5,FALSE)</f>
        <v>1.7</v>
      </c>
      <c r="E31">
        <f t="shared" si="0"/>
        <v>-11.764705882352944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D598-0021-4F30-96C4-569E333419EE}">
  <dimension ref="A1:E39"/>
  <sheetViews>
    <sheetView workbookViewId="0">
      <selection activeCell="H37" sqref="H37"/>
    </sheetView>
  </sheetViews>
  <sheetFormatPr defaultRowHeight="15" x14ac:dyDescent="0.25"/>
  <cols>
    <col min="2" max="2" width="95.7109375" customWidth="1"/>
    <col min="3" max="4" width="9.140625" style="11"/>
  </cols>
  <sheetData>
    <row r="1" spans="1:5" x14ac:dyDescent="0.25">
      <c r="A1" s="21" t="s">
        <v>163</v>
      </c>
      <c r="B1" s="35"/>
      <c r="C1" s="53"/>
      <c r="D1" s="53"/>
      <c r="E1" s="54"/>
    </row>
    <row r="2" spans="1:5" ht="67.5" x14ac:dyDescent="0.25">
      <c r="A2" s="55" t="s">
        <v>112</v>
      </c>
      <c r="B2" s="55" t="s">
        <v>0</v>
      </c>
      <c r="C2" s="57" t="s">
        <v>164</v>
      </c>
      <c r="D2" s="57" t="s">
        <v>165</v>
      </c>
      <c r="E2" s="56" t="s">
        <v>126</v>
      </c>
    </row>
    <row r="3" spans="1:5" x14ac:dyDescent="0.25">
      <c r="B3" t="s">
        <v>5</v>
      </c>
      <c r="C3" s="11">
        <f>VLOOKUP(B3,[1]Трансп!A$3:U$39,6,FALSE)/1000</f>
        <v>1155.2944639999998</v>
      </c>
      <c r="D3" s="11">
        <f>VLOOKUP(B3,[1]Трансп!A$3:U$39,4,FALSE)/1000</f>
        <v>852.68399999999997</v>
      </c>
    </row>
    <row r="4" spans="1:5" x14ac:dyDescent="0.25">
      <c r="B4" t="s">
        <v>6</v>
      </c>
      <c r="C4" s="11">
        <f>VLOOKUP(B4,[1]Трансп!A$3:U$39,6,FALSE)/1000</f>
        <v>432.24299999999999</v>
      </c>
      <c r="D4" s="11">
        <f>VLOOKUP(B4,[1]Трансп!A$3:U$39,4,FALSE)/1000</f>
        <v>423.589</v>
      </c>
    </row>
    <row r="5" spans="1:5" x14ac:dyDescent="0.25">
      <c r="B5" t="s">
        <v>7</v>
      </c>
      <c r="C5" s="11">
        <f>VLOOKUP(B5,[1]Трансп!A$3:U$39,6,FALSE)/1000</f>
        <v>972.28903300000002</v>
      </c>
      <c r="D5" s="11">
        <f>VLOOKUP(B5,[1]Трансп!A$3:U$39,4,FALSE)/1000</f>
        <v>782.22738900000002</v>
      </c>
    </row>
    <row r="6" spans="1:5" x14ac:dyDescent="0.25">
      <c r="B6" t="s">
        <v>8</v>
      </c>
      <c r="C6" s="11">
        <f>VLOOKUP(B6,[1]Трансп!A$3:U$39,6,FALSE)/1000</f>
        <v>594.45699999999999</v>
      </c>
      <c r="D6" s="11">
        <f>VLOOKUP(B6,[1]Трансп!A$3:U$39,4,FALSE)/1000</f>
        <v>592.08000000000004</v>
      </c>
    </row>
    <row r="7" spans="1:5" x14ac:dyDescent="0.25">
      <c r="B7" t="s">
        <v>9</v>
      </c>
      <c r="C7" s="11">
        <f>VLOOKUP(B7,[1]Трансп!A$3:U$39,6,FALSE)/1000</f>
        <v>822.71299999999997</v>
      </c>
      <c r="D7" s="11">
        <f>VLOOKUP(B7,[1]Трансп!A$3:U$39,4,FALSE)/1000</f>
        <v>822.71299999999997</v>
      </c>
    </row>
    <row r="8" spans="1:5" x14ac:dyDescent="0.25">
      <c r="B8" t="s">
        <v>10</v>
      </c>
      <c r="C8" s="11">
        <f>VLOOKUP(B8,[1]Трансп!A$3:U$39,6,FALSE)/1000</f>
        <v>1007.246</v>
      </c>
      <c r="D8" s="11">
        <f>VLOOKUP(B8,[1]Трансп!A$3:U$39,4,FALSE)/1000</f>
        <v>1010.449</v>
      </c>
    </row>
    <row r="9" spans="1:5" x14ac:dyDescent="0.25">
      <c r="B9" t="s">
        <v>11</v>
      </c>
      <c r="C9" s="11">
        <f>VLOOKUP(B9,[1]Трансп!A$3:U$39,6,FALSE)/1000</f>
        <v>164.70699999999999</v>
      </c>
      <c r="D9" s="11">
        <f>VLOOKUP(B9,[1]Трансп!A$3:U$39,4,FALSE)/1000</f>
        <v>162.53800000000001</v>
      </c>
    </row>
    <row r="10" spans="1:5" x14ac:dyDescent="0.25">
      <c r="B10" t="s">
        <v>12</v>
      </c>
      <c r="C10" s="11">
        <f>VLOOKUP(B10,[1]Трансп!A$3:U$39,6,FALSE)/1000</f>
        <v>617.16700000000003</v>
      </c>
      <c r="D10" s="11">
        <f>VLOOKUP(B10,[1]Трансп!A$3:U$39,4,FALSE)/1000</f>
        <v>175.24600000000001</v>
      </c>
    </row>
    <row r="11" spans="1:5" x14ac:dyDescent="0.25">
      <c r="B11" t="s">
        <v>13</v>
      </c>
      <c r="C11" s="11">
        <f>VLOOKUP(B11,[1]Трансп!A$3:U$39,6,FALSE)/1000</f>
        <v>975.80799999999999</v>
      </c>
      <c r="D11" s="11">
        <f>VLOOKUP(B11,[1]Трансп!A$3:U$39,4,FALSE)/1000</f>
        <v>815.67600000000004</v>
      </c>
    </row>
    <row r="12" spans="1:5" x14ac:dyDescent="0.25">
      <c r="B12" t="s">
        <v>14</v>
      </c>
      <c r="C12" s="11">
        <f>VLOOKUP(B12,[1]Трансп!A$3:U$39,6,FALSE)/1000</f>
        <v>806.47900000000004</v>
      </c>
      <c r="D12" s="11">
        <f>VLOOKUP(B12,[1]Трансп!A$3:U$39,4,FALSE)/1000</f>
        <v>806.25900000000001</v>
      </c>
    </row>
    <row r="13" spans="1:5" x14ac:dyDescent="0.25">
      <c r="B13" t="s">
        <v>15</v>
      </c>
      <c r="C13" s="11">
        <f>VLOOKUP(B13,[1]Трансп!A$3:U$39,6,FALSE)/1000</f>
        <v>963.97667000000001</v>
      </c>
      <c r="D13" s="11">
        <f>VLOOKUP(B13,[1]Трансп!A$3:U$39,4,FALSE)/1000</f>
        <v>620.08703000000003</v>
      </c>
    </row>
    <row r="14" spans="1:5" x14ac:dyDescent="0.25">
      <c r="B14" t="s">
        <v>16</v>
      </c>
      <c r="C14" s="11">
        <f>VLOOKUP(B14,[1]Трансп!A$3:U$39,6,FALSE)/1000</f>
        <v>1324.4580000000001</v>
      </c>
      <c r="D14" s="11">
        <f>VLOOKUP(B14,[1]Трансп!A$3:U$39,4,FALSE)/1000</f>
        <v>1316.9549999999999</v>
      </c>
    </row>
    <row r="15" spans="1:5" x14ac:dyDescent="0.25">
      <c r="B15" t="s">
        <v>17</v>
      </c>
      <c r="C15" s="11">
        <f>VLOOKUP(B15,[1]Трансп!A$3:U$39,6,FALSE)/1000</f>
        <v>3391.48</v>
      </c>
      <c r="D15" s="11">
        <f>VLOOKUP(B15,[1]Трансп!A$3:U$39,4,FALSE)/1000</f>
        <v>2823.92</v>
      </c>
    </row>
    <row r="16" spans="1:5" x14ac:dyDescent="0.25">
      <c r="B16" t="s">
        <v>18</v>
      </c>
      <c r="C16" s="11">
        <f>VLOOKUP(B16,[1]Трансп!A$3:U$39,6,FALSE)/1000</f>
        <v>2016.6768999999999</v>
      </c>
      <c r="D16" s="11">
        <f>VLOOKUP(B16,[1]Трансп!A$3:U$39,4,FALSE)/1000</f>
        <v>1511.6263999999999</v>
      </c>
    </row>
    <row r="17" spans="2:4" x14ac:dyDescent="0.25">
      <c r="B17" t="s">
        <v>19</v>
      </c>
      <c r="C17" s="11">
        <f>VLOOKUP(B17,[1]Трансп!A$3:U$39,6,FALSE)/1000</f>
        <v>647.99699999999996</v>
      </c>
      <c r="D17" s="11">
        <f>VLOOKUP(B17,[1]Трансп!A$3:U$39,4,FALSE)/1000</f>
        <v>401.79899999999998</v>
      </c>
    </row>
    <row r="18" spans="2:4" x14ac:dyDescent="0.25">
      <c r="B18" t="s">
        <v>20</v>
      </c>
      <c r="C18" s="11">
        <f>VLOOKUP(B18,[1]Трансп!A$3:U$39,6,FALSE)/1000</f>
        <v>843.57500000000005</v>
      </c>
      <c r="D18" s="11">
        <f>VLOOKUP(B18,[1]Трансп!A$3:U$39,4,FALSE)/1000</f>
        <v>858.55799999999999</v>
      </c>
    </row>
    <row r="19" spans="2:4" x14ac:dyDescent="0.25">
      <c r="B19" t="s">
        <v>21</v>
      </c>
      <c r="C19" s="11">
        <f>VLOOKUP(B19,[1]Трансп!A$3:U$39,6,FALSE)/1000</f>
        <v>758.94060000000002</v>
      </c>
      <c r="D19" s="11">
        <f>VLOOKUP(B19,[1]Трансп!A$3:U$39,4,FALSE)/1000</f>
        <v>797.36680000000001</v>
      </c>
    </row>
    <row r="20" spans="2:4" x14ac:dyDescent="0.25">
      <c r="B20" t="s">
        <v>22</v>
      </c>
      <c r="C20" s="11">
        <f>VLOOKUP(B20,[1]Трансп!A$3:U$39,6,FALSE)/1000</f>
        <v>1037.369242</v>
      </c>
      <c r="D20" s="11">
        <f>VLOOKUP(B20,[1]Трансп!A$3:U$39,4,FALSE)/1000</f>
        <v>1016.718</v>
      </c>
    </row>
    <row r="21" spans="2:4" x14ac:dyDescent="0.25">
      <c r="B21" t="s">
        <v>23</v>
      </c>
      <c r="C21" s="11">
        <f>VLOOKUP(B21,[1]Трансп!A$3:U$39,6,FALSE)/1000</f>
        <v>1435.405</v>
      </c>
      <c r="D21" s="11">
        <f>VLOOKUP(B21,[1]Трансп!A$3:U$39,4,FALSE)/1000</f>
        <v>1328.1849999999999</v>
      </c>
    </row>
    <row r="22" spans="2:4" x14ac:dyDescent="0.25">
      <c r="B22" t="s">
        <v>24</v>
      </c>
      <c r="C22" s="11">
        <f>VLOOKUP(B22,[1]Трансп!A$3:U$39,6,FALSE)/1000</f>
        <v>1462.1379999999999</v>
      </c>
      <c r="D22" s="11">
        <f>VLOOKUP(B22,[1]Трансп!A$3:U$39,4,FALSE)/1000</f>
        <v>0</v>
      </c>
    </row>
    <row r="23" spans="2:4" x14ac:dyDescent="0.25">
      <c r="B23" t="s">
        <v>25</v>
      </c>
      <c r="C23" s="11">
        <f>VLOOKUP(B23,[1]Трансп!A$3:U$39,6,FALSE)/1000</f>
        <v>601.96</v>
      </c>
      <c r="D23" s="11">
        <f>VLOOKUP(B23,[1]Трансп!A$3:U$39,4,FALSE)/1000</f>
        <v>597.346</v>
      </c>
    </row>
    <row r="24" spans="2:4" x14ac:dyDescent="0.25">
      <c r="B24" t="s">
        <v>26</v>
      </c>
      <c r="C24" s="11">
        <f>VLOOKUP(B24,[1]Трансп!A$3:U$39,6,FALSE)/1000</f>
        <v>662.31100000000004</v>
      </c>
      <c r="D24" s="11">
        <f>VLOOKUP(B24,[1]Трансп!A$3:U$39,4,FALSE)/1000</f>
        <v>546.68600000000004</v>
      </c>
    </row>
    <row r="25" spans="2:4" x14ac:dyDescent="0.25">
      <c r="B25" t="s">
        <v>27</v>
      </c>
      <c r="C25" s="11">
        <f>VLOOKUP(B25,[1]Трансп!A$3:U$39,6,FALSE)/1000</f>
        <v>1981.60869</v>
      </c>
      <c r="D25" s="11">
        <f>VLOOKUP(B25,[1]Трансп!A$3:U$39,4,FALSE)/1000</f>
        <v>1765.4816899999998</v>
      </c>
    </row>
    <row r="26" spans="2:4" x14ac:dyDescent="0.25">
      <c r="B26" t="s">
        <v>28</v>
      </c>
      <c r="C26" s="11">
        <f>VLOOKUP(B26,[1]Трансп!A$3:U$39,6,FALSE)/1000</f>
        <v>478.29700000000003</v>
      </c>
      <c r="D26" s="11">
        <f>VLOOKUP(B26,[1]Трансп!A$3:U$39,4,FALSE)/1000</f>
        <v>252.036</v>
      </c>
    </row>
    <row r="27" spans="2:4" x14ac:dyDescent="0.25">
      <c r="B27" t="s">
        <v>29</v>
      </c>
      <c r="C27" s="11">
        <f>VLOOKUP(B27,[1]Трансп!A$3:U$39,6,FALSE)/1000</f>
        <v>1071.4590000000001</v>
      </c>
      <c r="D27" s="11">
        <f>VLOOKUP(B27,[1]Трансп!A$3:U$39,4,FALSE)/1000</f>
        <v>1627.519</v>
      </c>
    </row>
    <row r="28" spans="2:4" x14ac:dyDescent="0.25">
      <c r="B28" t="s">
        <v>30</v>
      </c>
      <c r="C28" s="11">
        <f>VLOOKUP(B28,[1]Трансп!A$3:U$39,6,FALSE)/1000</f>
        <v>1744.1701699999999</v>
      </c>
      <c r="D28" s="11">
        <f>VLOOKUP(B28,[1]Трансп!A$3:U$39,4,FALSE)/1000</f>
        <v>1744.1701699999999</v>
      </c>
    </row>
    <row r="29" spans="2:4" x14ac:dyDescent="0.25">
      <c r="B29" t="s">
        <v>32</v>
      </c>
      <c r="C29" s="11">
        <f>VLOOKUP(B29,[1]Трансп!A$3:U$39,6,FALSE)/1000</f>
        <v>1139.972</v>
      </c>
      <c r="D29" s="11">
        <f>VLOOKUP(B29,[1]Трансп!A$3:U$39,4,FALSE)/1000</f>
        <v>1132.875</v>
      </c>
    </row>
    <row r="30" spans="2:4" x14ac:dyDescent="0.25">
      <c r="B30" t="s">
        <v>33</v>
      </c>
      <c r="C30" s="11">
        <f>VLOOKUP(B30,[1]Трансп!A$3:U$39,6,FALSE)/1000</f>
        <v>74.918700000000001</v>
      </c>
      <c r="D30" s="11">
        <f>VLOOKUP(B30,[1]Трансп!A$3:U$39,4,FALSE)/1000</f>
        <v>73.918700000000001</v>
      </c>
    </row>
    <row r="31" spans="2:4" x14ac:dyDescent="0.25">
      <c r="B31" t="s">
        <v>34</v>
      </c>
      <c r="C31" s="11">
        <f>VLOOKUP(B31,[1]Трансп!A$3:U$39,6,FALSE)/1000</f>
        <v>2005.546484</v>
      </c>
      <c r="D31" s="11">
        <f>VLOOKUP(B31,[1]Трансп!A$3:U$39,4,FALSE)/1000</f>
        <v>1968.304187</v>
      </c>
    </row>
    <row r="32" spans="2:4" x14ac:dyDescent="0.25">
      <c r="B32" t="s">
        <v>35</v>
      </c>
      <c r="C32" s="11" t="s">
        <v>85</v>
      </c>
      <c r="D32" s="11" t="s">
        <v>85</v>
      </c>
    </row>
    <row r="33" spans="2:4" x14ac:dyDescent="0.25">
      <c r="B33" t="s">
        <v>36</v>
      </c>
      <c r="C33" s="11">
        <f>VLOOKUP(B33,[1]Трансп!A$3:U$39,6,FALSE)/1000</f>
        <v>37.796999999999997</v>
      </c>
      <c r="D33" s="11">
        <f>VLOOKUP(B33,[1]Трансп!A$3:U$39,4,FALSE)/1000</f>
        <v>37.779000000000003</v>
      </c>
    </row>
    <row r="34" spans="2:4" x14ac:dyDescent="0.25">
      <c r="B34" t="s">
        <v>37</v>
      </c>
      <c r="C34" s="11">
        <f>VLOOKUP(B34,[1]Трансп!A$3:U$39,6,FALSE)/1000</f>
        <v>754.21500000000003</v>
      </c>
      <c r="D34" s="11">
        <f>VLOOKUP(B34,[1]Трансп!A$3:U$39,4,FALSE)/1000</f>
        <v>756.97199999999998</v>
      </c>
    </row>
    <row r="35" spans="2:4" x14ac:dyDescent="0.25">
      <c r="B35" t="s">
        <v>38</v>
      </c>
      <c r="C35" s="11">
        <f>VLOOKUP(B35,[1]Трансп!A$3:U$39,6,FALSE)/1000</f>
        <v>1912.675</v>
      </c>
      <c r="D35" s="11">
        <f>VLOOKUP(B35,[1]Трансп!A$3:U$39,4,FALSE)/1000</f>
        <v>1179.182</v>
      </c>
    </row>
    <row r="36" spans="2:4" x14ac:dyDescent="0.25">
      <c r="B36" t="s">
        <v>39</v>
      </c>
      <c r="C36" s="11">
        <f>VLOOKUP(B36,[1]Трансп!A$3:U$39,6,FALSE)/1000</f>
        <v>1315.6690000000001</v>
      </c>
      <c r="D36" s="11">
        <f>VLOOKUP(B36,[1]Трансп!A$3:U$39,4,FALSE)/1000</f>
        <v>1095.777</v>
      </c>
    </row>
    <row r="37" spans="2:4" x14ac:dyDescent="0.25">
      <c r="B37" t="s">
        <v>40</v>
      </c>
      <c r="C37" s="11">
        <f>VLOOKUP(B37,[1]Трансп!A$3:U$39,6,FALSE)/1000</f>
        <v>239.779</v>
      </c>
      <c r="D37" s="11">
        <f>VLOOKUP(B37,[1]Трансп!A$3:U$39,4,FALSE)/1000</f>
        <v>241.059</v>
      </c>
    </row>
    <row r="38" spans="2:4" x14ac:dyDescent="0.25">
      <c r="B38" t="s">
        <v>41</v>
      </c>
      <c r="C38" s="11">
        <f>VLOOKUP(B38,[1]Трансп!A$3:U$39,6,FALSE)/1000</f>
        <v>1003.0002049999999</v>
      </c>
      <c r="D38" s="11">
        <f>VLOOKUP(B38,[1]Трансп!A$3:U$39,4,FALSE)/1000</f>
        <v>938.37199999999996</v>
      </c>
    </row>
    <row r="39" spans="2:4" x14ac:dyDescent="0.25">
      <c r="B39" t="s">
        <v>99</v>
      </c>
      <c r="C39" s="11">
        <f>VLOOKUP(B39,[1]Трансп!A$3:U$39,6,FALSE)/1000</f>
        <v>336.02087</v>
      </c>
      <c r="D39" s="11">
        <f>VLOOKUP(B39,[1]Трансп!A$3:U$39,4,FALSE)/1000</f>
        <v>303.03003000000001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8610B-C081-4569-915B-7456DCFA6A90}">
  <dimension ref="A1:F38"/>
  <sheetViews>
    <sheetView workbookViewId="0">
      <selection activeCell="I25" sqref="I25"/>
    </sheetView>
  </sheetViews>
  <sheetFormatPr defaultRowHeight="15" x14ac:dyDescent="0.25"/>
  <cols>
    <col min="2" max="2" width="95.7109375" customWidth="1"/>
    <col min="3" max="3" width="11.140625" style="11" customWidth="1"/>
    <col min="4" max="4" width="9.85546875" style="11" customWidth="1"/>
    <col min="6" max="6" width="11" bestFit="1" customWidth="1"/>
  </cols>
  <sheetData>
    <row r="1" spans="1:6" x14ac:dyDescent="0.25">
      <c r="A1" s="21" t="s">
        <v>172</v>
      </c>
      <c r="B1" s="35"/>
      <c r="C1" s="53"/>
      <c r="D1" s="53"/>
      <c r="E1" s="54"/>
    </row>
    <row r="2" spans="1:6" ht="56.25" x14ac:dyDescent="0.25">
      <c r="A2" s="55" t="s">
        <v>2</v>
      </c>
      <c r="B2" s="55" t="s">
        <v>0</v>
      </c>
      <c r="C2" s="57" t="s">
        <v>164</v>
      </c>
      <c r="D2" s="57" t="s">
        <v>165</v>
      </c>
      <c r="E2" s="56" t="s">
        <v>126</v>
      </c>
    </row>
    <row r="3" spans="1:6" x14ac:dyDescent="0.25">
      <c r="A3" s="29">
        <v>1</v>
      </c>
      <c r="B3" s="69" t="s">
        <v>17</v>
      </c>
      <c r="C3" s="20">
        <f>VLOOKUP(B3,[1]Трансп!A$3:U$39,6,FALSE)/1000</f>
        <v>3391.48</v>
      </c>
      <c r="D3" s="20">
        <f>VLOOKUP(B3,[1]Трансп!A$3:U$39,4,FALSE)/1000</f>
        <v>2823.92</v>
      </c>
      <c r="E3" s="30">
        <f>(C3/D3-1)*100</f>
        <v>20.098303068075584</v>
      </c>
      <c r="F3">
        <f>VLOOKUP(B3,Табл1!$B$3:$F$67,5,FALSE)</f>
        <v>2310981029</v>
      </c>
    </row>
    <row r="4" spans="1:6" x14ac:dyDescent="0.25">
      <c r="A4" s="29">
        <v>2</v>
      </c>
      <c r="B4" s="69" t="s">
        <v>18</v>
      </c>
      <c r="C4" s="20">
        <f>VLOOKUP(B4,[1]Трансп!A$3:U$39,6,FALSE)/1000</f>
        <v>2016.6768999999999</v>
      </c>
      <c r="D4" s="20">
        <f>VLOOKUP(B4,[1]Трансп!A$3:U$39,4,FALSE)/1000</f>
        <v>1511.6263999999999</v>
      </c>
      <c r="E4" s="30">
        <f t="shared" ref="E4:E38" si="0">(C4/D4-1)*100</f>
        <v>33.411066385186182</v>
      </c>
      <c r="F4">
        <f>VLOOKUP(B4,Табл1!$B$3:$F$67,5,FALSE)</f>
        <v>9102023109</v>
      </c>
    </row>
    <row r="5" spans="1:6" x14ac:dyDescent="0.25">
      <c r="A5" s="29">
        <v>3</v>
      </c>
      <c r="B5" s="69" t="s">
        <v>34</v>
      </c>
      <c r="C5" s="20">
        <f>VLOOKUP(B5,[1]Трансп!A$3:U$39,6,FALSE)/1000</f>
        <v>2005.546484</v>
      </c>
      <c r="D5" s="20">
        <f>VLOOKUP(B5,[1]Трансп!A$3:U$39,4,FALSE)/1000</f>
        <v>1968.304187</v>
      </c>
      <c r="E5" s="30">
        <f t="shared" si="0"/>
        <v>1.8921006847403499</v>
      </c>
      <c r="F5">
        <f>VLOOKUP(B5,Табл1!$B$3:$F$67,5,FALSE)</f>
        <v>1655259599</v>
      </c>
    </row>
    <row r="6" spans="1:6" x14ac:dyDescent="0.25">
      <c r="A6" s="29">
        <v>4</v>
      </c>
      <c r="B6" s="69" t="s">
        <v>27</v>
      </c>
      <c r="C6" s="20">
        <f>VLOOKUP(B6,[1]Трансп!A$3:U$39,6,FALSE)/1000</f>
        <v>1981.60869</v>
      </c>
      <c r="D6" s="20">
        <f>VLOOKUP(B6,[1]Трансп!A$3:U$39,4,FALSE)/1000</f>
        <v>1765.4816899999998</v>
      </c>
      <c r="E6" s="30">
        <f t="shared" si="0"/>
        <v>12.241814866967005</v>
      </c>
      <c r="F6">
        <f>VLOOKUP(B6,Табл1!$B$3:$F$67,5,FALSE)</f>
        <v>6164072742</v>
      </c>
    </row>
    <row r="7" spans="1:6" x14ac:dyDescent="0.25">
      <c r="A7" s="29">
        <v>5</v>
      </c>
      <c r="B7" s="69" t="s">
        <v>38</v>
      </c>
      <c r="C7" s="20">
        <f>VLOOKUP(B7,[1]Трансп!A$3:U$39,6,FALSE)/1000</f>
        <v>1912.675</v>
      </c>
      <c r="D7" s="20">
        <f>VLOOKUP(B7,[1]Трансп!A$3:U$39,4,FALSE)/1000</f>
        <v>1179.182</v>
      </c>
      <c r="E7" s="30">
        <f t="shared" si="0"/>
        <v>62.203544491011556</v>
      </c>
      <c r="F7">
        <f>VLOOKUP(B7,Табл1!$B$3:$F$67,5,FALSE)</f>
        <v>2130058291</v>
      </c>
    </row>
    <row r="8" spans="1:6" x14ac:dyDescent="0.25">
      <c r="A8" s="29">
        <v>6</v>
      </c>
      <c r="B8" s="69" t="s">
        <v>30</v>
      </c>
      <c r="C8" s="20">
        <f>VLOOKUP(B8,[1]Трансп!A$3:U$39,6,FALSE)/1000</f>
        <v>1744.1701699999999</v>
      </c>
      <c r="D8" s="20">
        <f>VLOOKUP(B8,[1]Трансп!A$3:U$39,4,FALSE)/1000</f>
        <v>1744.1701699999999</v>
      </c>
      <c r="E8" s="30">
        <f t="shared" si="0"/>
        <v>0</v>
      </c>
      <c r="F8">
        <f>VLOOKUP(B8,Табл1!$B$3:$F$67,5,FALSE)</f>
        <v>6671118019</v>
      </c>
    </row>
    <row r="9" spans="1:6" x14ac:dyDescent="0.25">
      <c r="A9" s="29">
        <v>7</v>
      </c>
      <c r="B9" s="69" t="s">
        <v>24</v>
      </c>
      <c r="C9" s="20">
        <f>VLOOKUP(B9,[1]Трансп!A$3:U$39,6,FALSE)/1000</f>
        <v>1462.1379999999999</v>
      </c>
      <c r="D9" s="20" t="s">
        <v>85</v>
      </c>
      <c r="E9" s="30" t="s">
        <v>85</v>
      </c>
      <c r="F9">
        <f>VLOOKUP(B9,Табл1!$B$3:$F$67,5,FALSE)</f>
        <v>5406570716</v>
      </c>
    </row>
    <row r="10" spans="1:6" x14ac:dyDescent="0.25">
      <c r="A10" s="29">
        <v>8</v>
      </c>
      <c r="B10" s="69" t="s">
        <v>23</v>
      </c>
      <c r="C10" s="20">
        <f>VLOOKUP(B10,[1]Трансп!A$3:U$39,6,FALSE)/1000</f>
        <v>1435.405</v>
      </c>
      <c r="D10" s="20">
        <f>VLOOKUP(B10,[1]Трансп!A$3:U$39,4,FALSE)/1000</f>
        <v>1328.1849999999999</v>
      </c>
      <c r="E10" s="30">
        <f t="shared" si="0"/>
        <v>8.0726705993517491</v>
      </c>
      <c r="F10">
        <f>VLOOKUP(B10,Табл1!$B$3:$F$67,5,FALSE)</f>
        <v>5321059541</v>
      </c>
    </row>
    <row r="11" spans="1:6" x14ac:dyDescent="0.25">
      <c r="A11" s="29">
        <v>9</v>
      </c>
      <c r="B11" s="69" t="s">
        <v>16</v>
      </c>
      <c r="C11" s="20">
        <f>VLOOKUP(B11,[1]Трансп!A$3:U$39,6,FALSE)/1000</f>
        <v>1324.4580000000001</v>
      </c>
      <c r="D11" s="20">
        <f>VLOOKUP(B11,[1]Трансп!A$3:U$39,4,FALSE)/1000</f>
        <v>1316.9549999999999</v>
      </c>
      <c r="E11" s="30">
        <f t="shared" si="0"/>
        <v>0.56972333906626371</v>
      </c>
      <c r="F11">
        <f>VLOOKUP(B11,Табл1!$B$3:$F$67,5,FALSE)</f>
        <v>4345045088</v>
      </c>
    </row>
    <row r="12" spans="1:6" x14ac:dyDescent="0.25">
      <c r="A12" s="29">
        <v>10</v>
      </c>
      <c r="B12" s="69" t="s">
        <v>39</v>
      </c>
      <c r="C12" s="20">
        <f>VLOOKUP(B12,[1]Трансп!A$3:U$39,6,FALSE)/1000</f>
        <v>1315.6690000000001</v>
      </c>
      <c r="D12" s="20">
        <f>VLOOKUP(B12,[1]Трансп!A$3:U$39,4,FALSE)/1000</f>
        <v>1095.777</v>
      </c>
      <c r="E12" s="30">
        <f t="shared" si="0"/>
        <v>20.067221706606375</v>
      </c>
      <c r="F12">
        <f>VLOOKUP(B12,Табл1!$B$3:$F$67,5,FALSE)</f>
        <v>8601042850</v>
      </c>
    </row>
    <row r="13" spans="1:6" x14ac:dyDescent="0.25">
      <c r="A13" s="29">
        <v>11</v>
      </c>
      <c r="B13" s="69" t="s">
        <v>5</v>
      </c>
      <c r="C13" s="20">
        <f>VLOOKUP(B13,[1]Трансп!A$3:U$39,6,FALSE)/1000</f>
        <v>1155.2944639999998</v>
      </c>
      <c r="D13" s="20">
        <f>VLOOKUP(B13,[1]Трансп!A$3:U$39,4,FALSE)/1000</f>
        <v>852.68399999999997</v>
      </c>
      <c r="E13" s="30">
        <f t="shared" si="0"/>
        <v>35.489168789375647</v>
      </c>
      <c r="F13">
        <f>VLOOKUP(B13,Табл1!$B$3:$F$67,5,FALSE)</f>
        <v>2221171632</v>
      </c>
    </row>
    <row r="14" spans="1:6" x14ac:dyDescent="0.25">
      <c r="A14" s="29">
        <v>12</v>
      </c>
      <c r="B14" s="69" t="s">
        <v>32</v>
      </c>
      <c r="C14" s="20">
        <f>VLOOKUP(B14,[1]Трансп!A$3:U$39,6,FALSE)/1000</f>
        <v>1139.972</v>
      </c>
      <c r="D14" s="20">
        <f>VLOOKUP(B14,[1]Трансп!A$3:U$39,4,FALSE)/1000</f>
        <v>1132.875</v>
      </c>
      <c r="E14" s="30">
        <f t="shared" si="0"/>
        <v>0.62645922983559643</v>
      </c>
      <c r="F14">
        <f>VLOOKUP(B14,Табл1!$B$3:$F$67,5,FALSE)</f>
        <v>2634091033</v>
      </c>
    </row>
    <row r="15" spans="1:6" x14ac:dyDescent="0.25">
      <c r="A15" s="29">
        <v>13</v>
      </c>
      <c r="B15" s="69" t="s">
        <v>29</v>
      </c>
      <c r="C15" s="20">
        <f>VLOOKUP(B15,[1]Трансп!A$3:U$39,6,FALSE)/1000</f>
        <v>1071.4590000000001</v>
      </c>
      <c r="D15" s="20">
        <f>VLOOKUP(B15,[1]Трансп!A$3:U$39,4,FALSE)/1000</f>
        <v>1627.519</v>
      </c>
      <c r="E15" s="30">
        <f t="shared" si="0"/>
        <v>-34.166114189757536</v>
      </c>
      <c r="F15">
        <f>VLOOKUP(B15,Табл1!$B$3:$F$67,5,FALSE)</f>
        <v>1435296482</v>
      </c>
    </row>
    <row r="16" spans="1:6" x14ac:dyDescent="0.25">
      <c r="A16" s="29">
        <v>14</v>
      </c>
      <c r="B16" s="69" t="s">
        <v>22</v>
      </c>
      <c r="C16" s="20">
        <f>VLOOKUP(B16,[1]Трансп!A$3:U$39,6,FALSE)/1000</f>
        <v>1037.369242</v>
      </c>
      <c r="D16" s="20">
        <f>VLOOKUP(B16,[1]Трансп!A$3:U$39,4,FALSE)/1000</f>
        <v>1016.718</v>
      </c>
      <c r="E16" s="30">
        <f t="shared" si="0"/>
        <v>2.0311671476259896</v>
      </c>
      <c r="F16" t="str">
        <f>VLOOKUP(B16,Табл1!$B$3:$F$67,5,FALSE)</f>
        <v>1326960625, 1326211337</v>
      </c>
    </row>
    <row r="17" spans="1:6" x14ac:dyDescent="0.25">
      <c r="A17" s="29">
        <v>15</v>
      </c>
      <c r="B17" s="69" t="s">
        <v>10</v>
      </c>
      <c r="C17" s="20">
        <f>VLOOKUP(B17,[1]Трансп!A$3:U$39,6,FALSE)/1000</f>
        <v>1007.246</v>
      </c>
      <c r="D17" s="20">
        <f>VLOOKUP(B17,[1]Трансп!A$3:U$39,4,FALSE)/1000</f>
        <v>1010.449</v>
      </c>
      <c r="E17" s="30">
        <f t="shared" si="0"/>
        <v>-0.31698779453490644</v>
      </c>
      <c r="F17">
        <f>VLOOKUP(B17,Табл1!$B$3:$F$67,5,FALSE)</f>
        <v>3525251257</v>
      </c>
    </row>
    <row r="18" spans="1:6" x14ac:dyDescent="0.25">
      <c r="A18" s="29">
        <v>16</v>
      </c>
      <c r="B18" s="69" t="s">
        <v>41</v>
      </c>
      <c r="C18" s="20">
        <f>VLOOKUP(B18,[1]Трансп!A$3:U$39,6,FALSE)/1000</f>
        <v>1003.0002049999999</v>
      </c>
      <c r="D18" s="20">
        <f>VLOOKUP(B18,[1]Трансп!A$3:U$39,4,FALSE)/1000</f>
        <v>938.37199999999996</v>
      </c>
      <c r="E18" s="30">
        <f t="shared" si="0"/>
        <v>6.8872691214145298</v>
      </c>
      <c r="F18">
        <f>VLOOKUP(B18,Табл1!$B$3:$F$67,5,FALSE)</f>
        <v>7604192192</v>
      </c>
    </row>
    <row r="19" spans="1:6" x14ac:dyDescent="0.25">
      <c r="A19" s="29">
        <v>17</v>
      </c>
      <c r="B19" s="69" t="s">
        <v>13</v>
      </c>
      <c r="C19" s="20">
        <f>VLOOKUP(B19,[1]Трансп!A$3:U$39,6,FALSE)/1000</f>
        <v>975.80799999999999</v>
      </c>
      <c r="D19" s="20">
        <f>VLOOKUP(B19,[1]Трансп!A$3:U$39,4,FALSE)/1000</f>
        <v>815.67600000000004</v>
      </c>
      <c r="E19" s="30">
        <f t="shared" si="0"/>
        <v>19.631814593049192</v>
      </c>
      <c r="F19">
        <f>VLOOKUP(B19,Табл1!$B$3:$F$67,5,FALSE)</f>
        <v>3801990027</v>
      </c>
    </row>
    <row r="20" spans="1:6" x14ac:dyDescent="0.25">
      <c r="A20" s="29">
        <v>18</v>
      </c>
      <c r="B20" s="69" t="s">
        <v>7</v>
      </c>
      <c r="C20" s="20">
        <f>VLOOKUP(B20,[1]Трансп!A$3:U$39,6,FALSE)/1000</f>
        <v>972.28903300000002</v>
      </c>
      <c r="D20" s="20">
        <f>VLOOKUP(B20,[1]Трансп!A$3:U$39,4,FALSE)/1000</f>
        <v>782.22738900000002</v>
      </c>
      <c r="E20" s="30">
        <f t="shared" si="0"/>
        <v>24.297492861119952</v>
      </c>
      <c r="F20">
        <f>VLOOKUP(B20,Табл1!$B$3:$F$67,5,FALSE)</f>
        <v>2901204067</v>
      </c>
    </row>
    <row r="21" spans="1:6" x14ac:dyDescent="0.25">
      <c r="A21" s="29">
        <v>19</v>
      </c>
      <c r="B21" s="69" t="s">
        <v>15</v>
      </c>
      <c r="C21" s="20">
        <f>VLOOKUP(B21,[1]Трансп!A$3:U$39,6,FALSE)/1000</f>
        <v>963.97667000000001</v>
      </c>
      <c r="D21" s="20">
        <f>VLOOKUP(B21,[1]Трансп!A$3:U$39,4,FALSE)/1000</f>
        <v>620.08703000000003</v>
      </c>
      <c r="E21" s="30">
        <f t="shared" si="0"/>
        <v>55.458286234433899</v>
      </c>
      <c r="F21">
        <f>VLOOKUP(B21,Табл1!$B$3:$F$67,5,FALSE)</f>
        <v>4207043015</v>
      </c>
    </row>
    <row r="22" spans="1:6" x14ac:dyDescent="0.25">
      <c r="A22" s="29">
        <v>20</v>
      </c>
      <c r="B22" s="69" t="s">
        <v>20</v>
      </c>
      <c r="C22" s="20">
        <f>VLOOKUP(B22,[1]Трансп!A$3:U$39,6,FALSE)/1000</f>
        <v>843.57500000000005</v>
      </c>
      <c r="D22" s="20">
        <f>VLOOKUP(B22,[1]Трансп!A$3:U$39,4,FALSE)/1000</f>
        <v>858.55799999999999</v>
      </c>
      <c r="E22" s="30">
        <f t="shared" si="0"/>
        <v>-1.7451354480419456</v>
      </c>
      <c r="F22">
        <f>VLOOKUP(B22,Табл1!$B$3:$F$67,5,FALSE)</f>
        <v>4632066518</v>
      </c>
    </row>
    <row r="23" spans="1:6" x14ac:dyDescent="0.25">
      <c r="A23" s="29">
        <v>21</v>
      </c>
      <c r="B23" s="69" t="s">
        <v>9</v>
      </c>
      <c r="C23" s="20">
        <f>VLOOKUP(B23,[1]Трансп!A$3:U$39,6,FALSE)/1000</f>
        <v>822.71299999999997</v>
      </c>
      <c r="D23" s="20">
        <f>VLOOKUP(B23,[1]Трансп!A$3:U$39,4,FALSE)/1000</f>
        <v>822.71299999999997</v>
      </c>
      <c r="E23" s="30">
        <f t="shared" si="0"/>
        <v>0</v>
      </c>
      <c r="F23">
        <f>VLOOKUP(B23,Табл1!$B$3:$F$67,5,FALSE)</f>
        <v>275066729</v>
      </c>
    </row>
    <row r="24" spans="1:6" x14ac:dyDescent="0.25">
      <c r="A24" s="29">
        <v>22</v>
      </c>
      <c r="B24" s="69" t="s">
        <v>14</v>
      </c>
      <c r="C24" s="20">
        <f>VLOOKUP(B24,[1]Трансп!A$3:U$39,6,FALSE)/1000</f>
        <v>806.47900000000004</v>
      </c>
      <c r="D24" s="20">
        <f>VLOOKUP(B24,[1]Трансп!A$3:U$39,4,FALSE)/1000</f>
        <v>806.25900000000001</v>
      </c>
      <c r="E24" s="30">
        <f t="shared" si="0"/>
        <v>2.7286517111746456E-2</v>
      </c>
      <c r="F24">
        <f>VLOOKUP(B24,Табл1!$B$3:$F$67,5,FALSE)</f>
        <v>4101091354</v>
      </c>
    </row>
    <row r="25" spans="1:6" x14ac:dyDescent="0.25">
      <c r="A25" s="29">
        <v>23</v>
      </c>
      <c r="B25" s="69" t="s">
        <v>21</v>
      </c>
      <c r="C25" s="20">
        <f>VLOOKUP(B25,[1]Трансп!A$3:U$39,6,FALSE)/1000</f>
        <v>758.94060000000002</v>
      </c>
      <c r="D25" s="20">
        <f>VLOOKUP(B25,[1]Трансп!A$3:U$39,4,FALSE)/1000</f>
        <v>797.36680000000001</v>
      </c>
      <c r="E25" s="30">
        <f t="shared" si="0"/>
        <v>-4.8191371900610847</v>
      </c>
      <c r="F25">
        <f>VLOOKUP(B25,Табл1!$B$3:$F$67,5,FALSE)</f>
        <v>4824047100</v>
      </c>
    </row>
    <row r="26" spans="1:6" x14ac:dyDescent="0.25">
      <c r="A26" s="29">
        <v>24</v>
      </c>
      <c r="B26" s="69" t="s">
        <v>37</v>
      </c>
      <c r="C26" s="20">
        <f>VLOOKUP(B26,[1]Трансп!A$3:U$39,6,FALSE)/1000</f>
        <v>754.21500000000003</v>
      </c>
      <c r="D26" s="20">
        <f>VLOOKUP(B26,[1]Трансп!A$3:U$39,4,FALSE)/1000</f>
        <v>756.97199999999998</v>
      </c>
      <c r="E26" s="30">
        <f t="shared" si="0"/>
        <v>-0.36421426419999126</v>
      </c>
      <c r="F26">
        <f>VLOOKUP(B26,Табл1!$B$3:$F$67,5,FALSE)</f>
        <v>2721052016</v>
      </c>
    </row>
    <row r="27" spans="1:6" x14ac:dyDescent="0.25">
      <c r="A27" s="29">
        <v>25</v>
      </c>
      <c r="B27" s="69" t="s">
        <v>26</v>
      </c>
      <c r="C27" s="20">
        <f>VLOOKUP(B27,[1]Трансп!A$3:U$39,6,FALSE)/1000</f>
        <v>662.31100000000004</v>
      </c>
      <c r="D27" s="20">
        <f>VLOOKUP(B27,[1]Трансп!A$3:U$39,4,FALSE)/1000</f>
        <v>546.68600000000004</v>
      </c>
      <c r="E27" s="30">
        <f t="shared" si="0"/>
        <v>21.150166640448088</v>
      </c>
      <c r="F27">
        <f>VLOOKUP(B27,Табл1!$B$3:$F$67,5,FALSE)</f>
        <v>5835073174</v>
      </c>
    </row>
    <row r="28" spans="1:6" x14ac:dyDescent="0.25">
      <c r="A28" s="29">
        <v>26</v>
      </c>
      <c r="B28" s="69" t="s">
        <v>19</v>
      </c>
      <c r="C28" s="20">
        <f>VLOOKUP(B28,[1]Трансп!A$3:U$39,6,FALSE)/1000</f>
        <v>647.99699999999996</v>
      </c>
      <c r="D28" s="20">
        <f>VLOOKUP(B28,[1]Трансп!A$3:U$39,4,FALSE)/1000</f>
        <v>401.79899999999998</v>
      </c>
      <c r="E28" s="30">
        <f t="shared" si="0"/>
        <v>61.273920542360742</v>
      </c>
      <c r="F28">
        <f>VLOOKUP(B28,Табл1!$B$3:$F$67,5,FALSE)</f>
        <v>4501153372</v>
      </c>
    </row>
    <row r="29" spans="1:6" x14ac:dyDescent="0.25">
      <c r="A29" s="29">
        <v>27</v>
      </c>
      <c r="B29" s="69" t="s">
        <v>12</v>
      </c>
      <c r="C29" s="20">
        <f>VLOOKUP(B29,[1]Трансп!A$3:U$39,6,FALSE)/1000</f>
        <v>617.16700000000003</v>
      </c>
      <c r="D29" s="20">
        <f>VLOOKUP(B29,[1]Трансп!A$3:U$39,4,FALSE)/1000</f>
        <v>175.24600000000001</v>
      </c>
      <c r="E29" s="30">
        <f t="shared" si="0"/>
        <v>252.17180420665807</v>
      </c>
      <c r="F29">
        <f>VLOOKUP(B29,Табл1!$B$3:$F$67,5,FALSE)</f>
        <v>7536165141</v>
      </c>
    </row>
    <row r="30" spans="1:6" x14ac:dyDescent="0.25">
      <c r="A30" s="29">
        <v>28</v>
      </c>
      <c r="B30" s="69" t="s">
        <v>25</v>
      </c>
      <c r="C30" s="20">
        <f>VLOOKUP(B30,[1]Трансп!A$3:U$39,6,FALSE)/1000</f>
        <v>601.96</v>
      </c>
      <c r="D30" s="20">
        <f>VLOOKUP(B30,[1]Трансп!A$3:U$39,4,FALSE)/1000</f>
        <v>597.346</v>
      </c>
      <c r="E30" s="30">
        <f t="shared" si="0"/>
        <v>0.77241665634322221</v>
      </c>
      <c r="F30">
        <f>VLOOKUP(B30,Табл1!$B$3:$F$67,5,FALSE)</f>
        <v>5753990187</v>
      </c>
    </row>
    <row r="31" spans="1:6" x14ac:dyDescent="0.25">
      <c r="A31" s="29">
        <v>29</v>
      </c>
      <c r="B31" s="69" t="s">
        <v>8</v>
      </c>
      <c r="C31" s="20">
        <f>VLOOKUP(B31,[1]Трансп!A$3:U$39,6,FALSE)/1000</f>
        <v>594.45699999999999</v>
      </c>
      <c r="D31" s="20">
        <f>VLOOKUP(B31,[1]Трансп!A$3:U$39,4,FALSE)/1000</f>
        <v>592.08000000000004</v>
      </c>
      <c r="E31" s="30">
        <f t="shared" si="0"/>
        <v>0.40146601810564508</v>
      </c>
      <c r="F31">
        <f>VLOOKUP(B31,Табл1!$B$3:$F$67,5,FALSE)</f>
        <v>3015028318</v>
      </c>
    </row>
    <row r="32" spans="1:6" x14ac:dyDescent="0.25">
      <c r="A32" s="29">
        <v>30</v>
      </c>
      <c r="B32" s="69" t="s">
        <v>28</v>
      </c>
      <c r="C32" s="20">
        <f>VLOOKUP(B32,[1]Трансп!A$3:U$39,6,FALSE)/1000</f>
        <v>478.29700000000003</v>
      </c>
      <c r="D32" s="20">
        <f>VLOOKUP(B32,[1]Трансп!A$3:U$39,4,FALSE)/1000</f>
        <v>252.036</v>
      </c>
      <c r="E32" s="30">
        <f t="shared" si="0"/>
        <v>89.773286355917421</v>
      </c>
      <c r="F32">
        <f>VLOOKUP(B32,Табл1!$B$3:$F$67,5,FALSE)</f>
        <v>6450939546</v>
      </c>
    </row>
    <row r="33" spans="1:6" x14ac:dyDescent="0.25">
      <c r="A33" s="29">
        <v>31</v>
      </c>
      <c r="B33" s="69" t="s">
        <v>6</v>
      </c>
      <c r="C33" s="20">
        <f>VLOOKUP(B33,[1]Трансп!A$3:U$39,6,FALSE)/1000</f>
        <v>432.24299999999999</v>
      </c>
      <c r="D33" s="20">
        <f>VLOOKUP(B33,[1]Трансп!A$3:U$39,4,FALSE)/1000</f>
        <v>423.589</v>
      </c>
      <c r="E33" s="30">
        <f t="shared" si="0"/>
        <v>2.0430181142569781</v>
      </c>
      <c r="F33">
        <f>VLOOKUP(B33,Табл1!$B$3:$F$67,5,FALSE)</f>
        <v>2801249882</v>
      </c>
    </row>
    <row r="34" spans="1:6" x14ac:dyDescent="0.25">
      <c r="A34" s="29">
        <v>32</v>
      </c>
      <c r="B34" s="69" t="s">
        <v>99</v>
      </c>
      <c r="C34" s="20">
        <f>VLOOKUP(B34,[1]Трансп!A$3:U$39,6,FALSE)/1000</f>
        <v>336.02087</v>
      </c>
      <c r="D34" s="20">
        <f>VLOOKUP(B34,[1]Трансп!A$3:U$39,4,FALSE)/1000</f>
        <v>303.03003000000001</v>
      </c>
      <c r="E34" s="30">
        <f t="shared" si="0"/>
        <v>10.886987009175296</v>
      </c>
      <c r="F34" t="str">
        <f>VLOOKUP(B34,Табл1!$B$3:$F$67,5,FALSE)</f>
        <v>0571035216</v>
      </c>
    </row>
    <row r="35" spans="1:6" x14ac:dyDescent="0.25">
      <c r="A35" s="29">
        <v>33</v>
      </c>
      <c r="B35" s="69" t="s">
        <v>40</v>
      </c>
      <c r="C35" s="20">
        <f>VLOOKUP(B35,[1]Трансп!A$3:U$39,6,FALSE)/1000</f>
        <v>239.779</v>
      </c>
      <c r="D35" s="20">
        <f>VLOOKUP(B35,[1]Трансп!A$3:U$39,4,FALSE)/1000</f>
        <v>241.059</v>
      </c>
      <c r="E35" s="30">
        <f t="shared" si="0"/>
        <v>-0.53099033846485399</v>
      </c>
      <c r="F35">
        <f>VLOOKUP(B35,Табл1!$B$3:$F$67,5,FALSE)</f>
        <v>1435296482</v>
      </c>
    </row>
    <row r="36" spans="1:6" x14ac:dyDescent="0.25">
      <c r="A36" s="29">
        <v>34</v>
      </c>
      <c r="B36" s="69" t="s">
        <v>11</v>
      </c>
      <c r="C36" s="20">
        <f>VLOOKUP(B36,[1]Трансп!A$3:U$39,6,FALSE)/1000</f>
        <v>164.70699999999999</v>
      </c>
      <c r="D36" s="20">
        <f>VLOOKUP(B36,[1]Трансп!A$3:U$39,4,FALSE)/1000</f>
        <v>162.53800000000001</v>
      </c>
      <c r="E36" s="30">
        <f t="shared" si="0"/>
        <v>1.3344571730918187</v>
      </c>
      <c r="F36">
        <f>VLOOKUP(B36,Табл1!$B$3:$F$67,5,FALSE)</f>
        <v>7901550330</v>
      </c>
    </row>
    <row r="37" spans="1:6" x14ac:dyDescent="0.25">
      <c r="A37" s="29">
        <v>35</v>
      </c>
      <c r="B37" s="69" t="s">
        <v>33</v>
      </c>
      <c r="C37" s="20">
        <f>VLOOKUP(B37,[1]Трансп!A$3:U$39,6,FALSE)/1000</f>
        <v>74.918700000000001</v>
      </c>
      <c r="D37" s="20">
        <f>VLOOKUP(B37,[1]Трансп!A$3:U$39,4,FALSE)/1000</f>
        <v>73.918700000000001</v>
      </c>
      <c r="E37" s="30">
        <f t="shared" si="0"/>
        <v>1.3528376446014345</v>
      </c>
      <c r="F37">
        <f>VLOOKUP(B37,Табл1!$B$3:$F$67,5,FALSE)</f>
        <v>6154035727</v>
      </c>
    </row>
    <row r="38" spans="1:6" x14ac:dyDescent="0.25">
      <c r="A38" s="29">
        <v>36</v>
      </c>
      <c r="B38" s="69" t="s">
        <v>36</v>
      </c>
      <c r="C38" s="20">
        <f>VLOOKUP(B38,[1]Трансп!A$3:U$39,6,FALSE)/1000</f>
        <v>37.796999999999997</v>
      </c>
      <c r="D38" s="20">
        <f>VLOOKUP(B38,[1]Трансп!A$3:U$39,4,FALSE)/1000</f>
        <v>37.779000000000003</v>
      </c>
      <c r="E38" s="30">
        <f t="shared" si="0"/>
        <v>4.7645517350902722E-2</v>
      </c>
      <c r="F38">
        <f>VLOOKUP(B38,Табл1!$B$3:$F$67,5,FALSE)</f>
        <v>3818029140</v>
      </c>
    </row>
  </sheetData>
  <sortState xmlns:xlrd2="http://schemas.microsoft.com/office/spreadsheetml/2017/richdata2" ref="A3:E38">
    <sortCondition descending="1" ref="C3:C38"/>
  </sortState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EFF4-6ACD-43B3-8906-763B3D39763A}">
  <sheetPr>
    <tabColor rgb="FFFFFF00"/>
  </sheetPr>
  <dimension ref="A1:F24"/>
  <sheetViews>
    <sheetView workbookViewId="0">
      <selection activeCell="O22" sqref="O22"/>
    </sheetView>
  </sheetViews>
  <sheetFormatPr defaultRowHeight="15" x14ac:dyDescent="0.25"/>
  <cols>
    <col min="2" max="2" width="95.7109375" customWidth="1"/>
    <col min="5" max="5" width="13.28515625" customWidth="1"/>
    <col min="6" max="6" width="11" bestFit="1" customWidth="1"/>
  </cols>
  <sheetData>
    <row r="1" spans="1:6" x14ac:dyDescent="0.25">
      <c r="A1" t="s">
        <v>171</v>
      </c>
    </row>
    <row r="2" spans="1:6" ht="78.75" x14ac:dyDescent="0.25">
      <c r="A2" s="55" t="s">
        <v>166</v>
      </c>
      <c r="B2" s="61" t="s">
        <v>0</v>
      </c>
      <c r="C2" s="93" t="s">
        <v>161</v>
      </c>
      <c r="D2" s="93" t="s">
        <v>160</v>
      </c>
      <c r="E2" s="93" t="s">
        <v>72</v>
      </c>
    </row>
    <row r="3" spans="1:6" x14ac:dyDescent="0.25">
      <c r="A3" s="29">
        <v>1</v>
      </c>
      <c r="B3" s="69" t="s">
        <v>173</v>
      </c>
      <c r="C3" s="89">
        <v>19.100000000000001</v>
      </c>
      <c r="D3" s="89">
        <v>7.7712300000000001</v>
      </c>
      <c r="E3" s="30">
        <f t="shared" ref="E3:E24" si="0">(C3/D3-1)*100</f>
        <v>145.77833882152507</v>
      </c>
      <c r="F3">
        <v>9701125685</v>
      </c>
    </row>
    <row r="4" spans="1:6" x14ac:dyDescent="0.25">
      <c r="A4" s="29">
        <v>2</v>
      </c>
      <c r="B4" s="69" t="s">
        <v>56</v>
      </c>
      <c r="C4" s="89">
        <f>VLOOKUP(B4,[3]Трансп!$A$3:$M$32,7,FALSE)/1000</f>
        <v>15.64</v>
      </c>
      <c r="D4" s="89">
        <f>VLOOKUP(B4,[3]Трансп!$A$3:$M$32,5,FALSE)/1000</f>
        <v>13.784000000000001</v>
      </c>
      <c r="E4" s="30">
        <f t="shared" si="0"/>
        <v>13.464886825304689</v>
      </c>
      <c r="F4">
        <f>VLOOKUP(B4,Табл1!$B$3:$F$67,5,FALSE)</f>
        <v>7730634468</v>
      </c>
    </row>
    <row r="5" spans="1:6" x14ac:dyDescent="0.25">
      <c r="A5" s="29">
        <v>3</v>
      </c>
      <c r="B5" s="69" t="s">
        <v>44</v>
      </c>
      <c r="C5" s="89">
        <f>VLOOKUP(B5,[3]Трансп!$A$3:$M$32,7,FALSE)</f>
        <v>4</v>
      </c>
      <c r="D5" s="89">
        <f>VLOOKUP(B5,[3]Трансп!$A$3:$M$32,5,FALSE)</f>
        <v>3</v>
      </c>
      <c r="E5" s="30">
        <f t="shared" si="0"/>
        <v>33.333333333333329</v>
      </c>
      <c r="F5">
        <f>VLOOKUP(B5,Табл1!$B$3:$F$67,5,FALSE)</f>
        <v>7704472891</v>
      </c>
    </row>
    <row r="6" spans="1:6" x14ac:dyDescent="0.25">
      <c r="A6" s="29">
        <v>4</v>
      </c>
      <c r="B6" s="69" t="s">
        <v>52</v>
      </c>
      <c r="C6" s="89">
        <f>VLOOKUP(B6,[3]Трансп!$A$3:$M$32,7,FALSE)</f>
        <v>3.6</v>
      </c>
      <c r="D6" s="89">
        <f>VLOOKUP(B6,[3]Трансп!$A$3:$M$32,5,FALSE)</f>
        <v>3.1</v>
      </c>
      <c r="E6" s="30">
        <f t="shared" si="0"/>
        <v>16.129032258064523</v>
      </c>
      <c r="F6">
        <f>VLOOKUP(B6,Табл1!$B$3:$F$67,5,FALSE)</f>
        <v>3123449916</v>
      </c>
    </row>
    <row r="7" spans="1:6" x14ac:dyDescent="0.25">
      <c r="A7" s="29">
        <v>5</v>
      </c>
      <c r="B7" s="69" t="s">
        <v>86</v>
      </c>
      <c r="C7" s="89">
        <v>3.5911694000000001</v>
      </c>
      <c r="D7" s="89">
        <v>2.9780000000000002</v>
      </c>
      <c r="E7" s="30">
        <f t="shared" si="0"/>
        <v>20.589973136333107</v>
      </c>
      <c r="F7">
        <v>7715825027</v>
      </c>
    </row>
    <row r="8" spans="1:6" x14ac:dyDescent="0.25">
      <c r="A8" s="29">
        <v>6</v>
      </c>
      <c r="B8" s="69" t="s">
        <v>48</v>
      </c>
      <c r="C8" s="89">
        <f>VLOOKUP(B8,[3]Трансп!$A$3:$M$32,7,FALSE)/1000</f>
        <v>3.3319999999999999</v>
      </c>
      <c r="D8" s="89">
        <f>VLOOKUP(B8,[3]Трансп!$A$3:$M$32,5,FALSE)/1000</f>
        <v>1.956</v>
      </c>
      <c r="E8" s="30">
        <f t="shared" si="0"/>
        <v>70.347648261758678</v>
      </c>
      <c r="F8">
        <f>VLOOKUP(B8,Табл1!$B$3:$F$67,5,FALSE)</f>
        <v>7733812126</v>
      </c>
    </row>
    <row r="9" spans="1:6" x14ac:dyDescent="0.25">
      <c r="A9" s="29">
        <v>7</v>
      </c>
      <c r="B9" s="69" t="s">
        <v>55</v>
      </c>
      <c r="C9" s="89">
        <f>VLOOKUP(B9,[3]Трансп!$A$3:$M$32,7,FALSE)/1000</f>
        <v>2.8610000000000002</v>
      </c>
      <c r="D9" s="89">
        <f>VLOOKUP(B9,[3]Трансп!$A$3:$M$32,5,FALSE)/1000</f>
        <v>1.5640000000000001</v>
      </c>
      <c r="E9" s="30">
        <f t="shared" si="0"/>
        <v>82.92838874680308</v>
      </c>
      <c r="F9">
        <f>VLOOKUP(B9,Табл1!$B$3:$F$67,5,FALSE)</f>
        <v>5260355389</v>
      </c>
    </row>
    <row r="10" spans="1:6" x14ac:dyDescent="0.25">
      <c r="A10" s="29">
        <v>8</v>
      </c>
      <c r="B10" s="69" t="s">
        <v>67</v>
      </c>
      <c r="C10" s="89">
        <f>VLOOKUP(B10,[3]Трансп!$A$3:$M$32,7,FALSE)</f>
        <v>2.8</v>
      </c>
      <c r="D10" s="89">
        <f>VLOOKUP(B10,[3]Трансп!$A$3:$M$32,5,FALSE)</f>
        <v>2.8</v>
      </c>
      <c r="E10" s="30">
        <f t="shared" si="0"/>
        <v>0</v>
      </c>
      <c r="F10">
        <f>VLOOKUP(B10,Табл1!$B$3:$F$67,5,FALSE)</f>
        <v>1831178411</v>
      </c>
    </row>
    <row r="11" spans="1:6" x14ac:dyDescent="0.25">
      <c r="A11" s="29">
        <v>9</v>
      </c>
      <c r="B11" s="69" t="s">
        <v>42</v>
      </c>
      <c r="C11" s="89">
        <f>VLOOKUP(B11,[3]Трансп!$A$3:$M$32,7,FALSE)</f>
        <v>2.5705970825477751</v>
      </c>
      <c r="D11" s="89">
        <f>VLOOKUP(B11,[3]Трансп!$A$3:$M$32,5,FALSE)</f>
        <v>1.5532194130853729</v>
      </c>
      <c r="E11" s="30">
        <f t="shared" si="0"/>
        <v>65.501220297101838</v>
      </c>
      <c r="F11" t="str">
        <f>VLOOKUP(B11,Табл1!$B$3:$F$67,5,FALSE)</f>
        <v>7325081622, 7702820127</v>
      </c>
    </row>
    <row r="12" spans="1:6" x14ac:dyDescent="0.25">
      <c r="A12" s="29">
        <v>10</v>
      </c>
      <c r="B12" s="69" t="s">
        <v>57</v>
      </c>
      <c r="C12" s="89">
        <f>VLOOKUP(B12,[3]Трансп!$A$3:$M$32,7,FALSE)</f>
        <v>2.4209999999999998</v>
      </c>
      <c r="D12" s="89">
        <f>VLOOKUP(B12,[3]Трансп!$A$3:$M$32,5,FALSE)</f>
        <v>0.59199999999999997</v>
      </c>
      <c r="E12" s="30">
        <f t="shared" si="0"/>
        <v>308.95270270270271</v>
      </c>
      <c r="F12">
        <f>VLOOKUP(B12,Табл1!$B$3:$F$67,5,FALSE)</f>
        <v>1659182700</v>
      </c>
    </row>
    <row r="13" spans="1:6" x14ac:dyDescent="0.25">
      <c r="A13" s="29">
        <v>11</v>
      </c>
      <c r="B13" s="69" t="s">
        <v>60</v>
      </c>
      <c r="C13" s="89">
        <f>VLOOKUP(B13,[3]Трансп!$A$3:$M$32,7,FALSE)</f>
        <v>2.4039999999999999</v>
      </c>
      <c r="D13" s="89">
        <f>VLOOKUP(B13,[3]Трансп!$A$3:$M$32,5,FALSE)</f>
        <v>1.9670000000000001</v>
      </c>
      <c r="E13" s="30">
        <f t="shared" si="0"/>
        <v>22.216573462125044</v>
      </c>
      <c r="F13">
        <f>VLOOKUP(B13,Табл1!$B$3:$F$67,5,FALSE)</f>
        <v>7704784072</v>
      </c>
    </row>
    <row r="14" spans="1:6" x14ac:dyDescent="0.25">
      <c r="A14" s="29">
        <v>12</v>
      </c>
      <c r="B14" s="69" t="s">
        <v>45</v>
      </c>
      <c r="C14" s="89">
        <f>VLOOKUP(B14,[3]Трансп!$A$3:$M$32,7,FALSE)</f>
        <v>2.1890000000000001</v>
      </c>
      <c r="D14" s="89">
        <f>VLOOKUP(B14,[3]Трансп!$A$3:$M$32,5,FALSE)</f>
        <v>1.534</v>
      </c>
      <c r="E14" s="30">
        <f t="shared" si="0"/>
        <v>42.698826597131692</v>
      </c>
      <c r="F14">
        <f>VLOOKUP(B14,Табл1!$B$3:$F$67,5,FALSE)</f>
        <v>5407973316</v>
      </c>
    </row>
    <row r="15" spans="1:6" x14ac:dyDescent="0.25">
      <c r="A15" s="29">
        <v>13</v>
      </c>
      <c r="B15" s="69" t="s">
        <v>61</v>
      </c>
      <c r="C15" s="89">
        <f>VLOOKUP(B15,[3]Трансп!$A$3:$M$32,7,FALSE)/1000</f>
        <v>2.1219999999999999</v>
      </c>
      <c r="D15" s="89">
        <f>VLOOKUP(B15,[3]Трансп!$A$3:$M$32,5,FALSE)/1000</f>
        <v>1.5744</v>
      </c>
      <c r="E15" s="30">
        <f t="shared" si="0"/>
        <v>34.781504065040636</v>
      </c>
      <c r="F15">
        <f>VLOOKUP(B15,Табл1!$B$3:$F$67,5,FALSE)</f>
        <v>7705974076</v>
      </c>
    </row>
    <row r="16" spans="1:6" x14ac:dyDescent="0.25">
      <c r="A16" s="29">
        <v>14</v>
      </c>
      <c r="B16" s="69" t="s">
        <v>59</v>
      </c>
      <c r="C16" s="89">
        <f>VLOOKUP(B16,[3]Трансп!$A$3:$M$32,7,FALSE)</f>
        <v>2.1</v>
      </c>
      <c r="D16" s="89">
        <f>VLOOKUP(B16,[3]Трансп!$A$3:$M$32,5,FALSE)</f>
        <v>2</v>
      </c>
      <c r="E16" s="30">
        <f t="shared" si="0"/>
        <v>5.0000000000000044</v>
      </c>
      <c r="F16">
        <f>VLOOKUP(B16,Табл1!$B$3:$F$67,5,FALSE)</f>
        <v>7724889891</v>
      </c>
    </row>
    <row r="17" spans="1:6" x14ac:dyDescent="0.25">
      <c r="A17" s="29">
        <v>15</v>
      </c>
      <c r="B17" s="69" t="s">
        <v>63</v>
      </c>
      <c r="C17" s="89">
        <f>VLOOKUP(B17,[3]Трансп!$A$3:$M$32,7,FALSE)</f>
        <v>2</v>
      </c>
      <c r="D17" s="89">
        <f>VLOOKUP(B17,[3]Трансп!$A$3:$M$32,5,FALSE)</f>
        <v>1.9</v>
      </c>
      <c r="E17" s="30">
        <f t="shared" si="0"/>
        <v>5.2631578947368363</v>
      </c>
      <c r="F17" t="str">
        <f>VLOOKUP(B17,Табл1!$B$3:$F$67,5,FALSE)</f>
        <v>7728771940, 7725850061</v>
      </c>
    </row>
    <row r="18" spans="1:6" x14ac:dyDescent="0.25">
      <c r="A18" s="29">
        <v>16</v>
      </c>
      <c r="B18" s="69" t="s">
        <v>51</v>
      </c>
      <c r="C18" s="89">
        <f>VLOOKUP(B18,[3]Трансп!$A$3:$M$32,7,FALSE)</f>
        <v>1.7</v>
      </c>
      <c r="D18" s="89">
        <f>VLOOKUP(B18,[3]Трансп!$A$3:$M$32,5,FALSE)</f>
        <v>1.25</v>
      </c>
      <c r="E18" s="30">
        <f t="shared" si="0"/>
        <v>35.999999999999986</v>
      </c>
      <c r="F18">
        <f>VLOOKUP(B18,Табл1!$B$3:$F$67,5,FALSE)</f>
        <v>7704493556</v>
      </c>
    </row>
    <row r="19" spans="1:6" x14ac:dyDescent="0.25">
      <c r="A19" s="29">
        <v>17</v>
      </c>
      <c r="B19" s="69" t="s">
        <v>58</v>
      </c>
      <c r="C19" s="89">
        <f>VLOOKUP(B19,[3]Трансп!$A$3:$M$32,7,FALSE)</f>
        <v>1.6819999999999999</v>
      </c>
      <c r="D19" s="89">
        <f>VLOOKUP(B19,[3]Трансп!$A$3:$M$32,5,FALSE)</f>
        <v>0.98</v>
      </c>
      <c r="E19" s="30">
        <f t="shared" si="0"/>
        <v>71.632653061224488</v>
      </c>
      <c r="F19">
        <f>VLOOKUP(B19,Табл1!$B$3:$F$67,5,FALSE)</f>
        <v>5501246928</v>
      </c>
    </row>
    <row r="20" spans="1:6" x14ac:dyDescent="0.25">
      <c r="A20" s="29">
        <v>18</v>
      </c>
      <c r="B20" s="69" t="s">
        <v>50</v>
      </c>
      <c r="C20" s="89">
        <f>VLOOKUP(B20,[3]Трансп!$A$3:$M$32,7,FALSE)/1000</f>
        <v>1.524</v>
      </c>
      <c r="D20" s="89">
        <f>VLOOKUP(B20,[3]Трансп!$A$3:$M$32,5,FALSE)/1000</f>
        <v>2.226</v>
      </c>
      <c r="E20" s="30">
        <f t="shared" si="0"/>
        <v>-31.536388140161719</v>
      </c>
      <c r="F20">
        <f>VLOOKUP(B20,Табл1!$B$3:$F$67,5,FALSE)</f>
        <v>2465260220</v>
      </c>
    </row>
    <row r="21" spans="1:6" x14ac:dyDescent="0.25">
      <c r="A21" s="29">
        <v>19</v>
      </c>
      <c r="B21" s="69" t="s">
        <v>69</v>
      </c>
      <c r="C21" s="89">
        <f>VLOOKUP(B21,[3]Трансп!$A$3:$M$32,7,FALSE)</f>
        <v>1.5</v>
      </c>
      <c r="D21" s="89">
        <f>VLOOKUP(B21,[3]Трансп!$A$3:$M$32,5,FALSE)</f>
        <v>1.7</v>
      </c>
      <c r="E21" s="30">
        <f t="shared" si="0"/>
        <v>-11.764705882352944</v>
      </c>
      <c r="F21">
        <f>VLOOKUP(B21,Табл1!$B$3:$F$67,5,FALSE)</f>
        <v>7716748537</v>
      </c>
    </row>
    <row r="22" spans="1:6" x14ac:dyDescent="0.25">
      <c r="A22" s="29">
        <v>20</v>
      </c>
      <c r="B22" s="69" t="s">
        <v>66</v>
      </c>
      <c r="C22" s="89">
        <f>VLOOKUP(B22,[3]Трансп!$A$3:$M$32,7,FALSE)/1000</f>
        <v>1.4</v>
      </c>
      <c r="D22" s="89">
        <f>VLOOKUP(B22,[3]Трансп!$A$3:$M$32,5,FALSE)/1000</f>
        <v>1</v>
      </c>
      <c r="E22" s="30">
        <f t="shared" si="0"/>
        <v>39.999999999999993</v>
      </c>
      <c r="F22">
        <f>VLOOKUP(B22,Табл1!$B$3:$F$67,5,FALSE)</f>
        <v>4205219217</v>
      </c>
    </row>
    <row r="23" spans="1:6" x14ac:dyDescent="0.25">
      <c r="A23" s="29">
        <v>21</v>
      </c>
      <c r="B23" s="69" t="s">
        <v>64</v>
      </c>
      <c r="C23" s="89">
        <f>VLOOKUP(B23,[3]Трансп!$A$3:$M$32,7,FALSE)/1000</f>
        <v>1.3149999999999999</v>
      </c>
      <c r="D23" s="89">
        <f>VLOOKUP(B23,[3]Трансп!$A$3:$M$32,5,FALSE)/1000</f>
        <v>0.64400000000000002</v>
      </c>
      <c r="E23" s="30">
        <f t="shared" si="0"/>
        <v>104.19254658385091</v>
      </c>
      <c r="F23">
        <f>VLOOKUP(B23,Табл1!$B$3:$F$67,5,FALSE)</f>
        <v>5260271530</v>
      </c>
    </row>
    <row r="24" spans="1:6" x14ac:dyDescent="0.25">
      <c r="A24" s="29">
        <v>22</v>
      </c>
      <c r="B24" s="69" t="s">
        <v>46</v>
      </c>
      <c r="C24" s="89">
        <f>VLOOKUP(B24,[3]Трансп!$A$3:$M$32,7,FALSE)</f>
        <v>0.9</v>
      </c>
      <c r="D24" s="89">
        <f>VLOOKUP(B24,[3]Трансп!$A$3:$M$32,5,FALSE)</f>
        <v>0.6</v>
      </c>
      <c r="E24" s="30">
        <f t="shared" si="0"/>
        <v>50</v>
      </c>
      <c r="F24">
        <f>VLOOKUP(B24,Табл1!$B$3:$F$67,5,FALSE)</f>
        <v>5410059568</v>
      </c>
    </row>
  </sheetData>
  <sortState xmlns:xlrd2="http://schemas.microsoft.com/office/spreadsheetml/2017/richdata2" ref="A3:F24">
    <sortCondition descending="1" ref="C3:C2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CF079-F49B-4476-A326-7CD9B74924AE}">
  <sheetPr codeName="Лист4"/>
  <dimension ref="A1:X68"/>
  <sheetViews>
    <sheetView topLeftCell="A22" workbookViewId="0">
      <selection activeCell="A41" sqref="A41:XFD41"/>
    </sheetView>
  </sheetViews>
  <sheetFormatPr defaultRowHeight="15" x14ac:dyDescent="0.25"/>
  <cols>
    <col min="2" max="2" width="95.7109375" customWidth="1"/>
  </cols>
  <sheetData>
    <row r="1" spans="1:24" x14ac:dyDescent="0.25">
      <c r="A1" t="s">
        <v>75</v>
      </c>
    </row>
    <row r="2" spans="1:24" s="6" customFormat="1" ht="67.5" x14ac:dyDescent="0.25">
      <c r="A2" s="1" t="s">
        <v>73</v>
      </c>
      <c r="B2" s="2" t="s">
        <v>0</v>
      </c>
      <c r="C2" s="1" t="s">
        <v>74</v>
      </c>
      <c r="D2" s="1" t="s">
        <v>71</v>
      </c>
      <c r="E2" s="3" t="s">
        <v>72</v>
      </c>
      <c r="F2" s="4"/>
      <c r="G2" s="5"/>
      <c r="H2" s="5"/>
      <c r="I2" s="5"/>
      <c r="J2" s="5"/>
      <c r="L2" s="7"/>
      <c r="M2" s="8"/>
      <c r="N2" s="8"/>
      <c r="O2" s="8"/>
      <c r="P2"/>
      <c r="Q2"/>
      <c r="R2"/>
      <c r="S2" s="5"/>
      <c r="T2" s="5"/>
      <c r="U2" s="5"/>
      <c r="V2" s="9"/>
      <c r="W2" s="5"/>
      <c r="X2" s="5"/>
    </row>
    <row r="3" spans="1:24" x14ac:dyDescent="0.25">
      <c r="A3">
        <v>1</v>
      </c>
      <c r="B3" t="s">
        <v>5</v>
      </c>
      <c r="C3" s="11">
        <f>VLOOKUP(B3,[1]Трансп!$A$3:$U$38,20,FALSE)/1000</f>
        <v>509.12965000000003</v>
      </c>
      <c r="D3" s="11">
        <f>VLOOKUP(B3,[1]Трансп!$A$3:$U$38,18,FALSE)/1000</f>
        <v>417.19499999999999</v>
      </c>
      <c r="E3" s="13">
        <f t="shared" ref="E3:E21" si="0">C3/D3-1</f>
        <v>0.2203637387792281</v>
      </c>
    </row>
    <row r="4" spans="1:24" x14ac:dyDescent="0.25">
      <c r="A4">
        <v>2</v>
      </c>
      <c r="B4" t="s">
        <v>6</v>
      </c>
      <c r="C4" s="11">
        <f>VLOOKUP(B4,[1]Трансп!$A$3:$U$38,20,FALSE)/1000</f>
        <v>90.51</v>
      </c>
      <c r="D4" s="11">
        <f>VLOOKUP(B4,[1]Трансп!$A$3:$U$38,18,FALSE)/1000</f>
        <v>109.628</v>
      </c>
      <c r="E4" s="13">
        <f t="shared" si="0"/>
        <v>-0.17438975444229576</v>
      </c>
    </row>
    <row r="5" spans="1:24" x14ac:dyDescent="0.25">
      <c r="A5">
        <v>3</v>
      </c>
      <c r="B5" t="s">
        <v>7</v>
      </c>
      <c r="C5" s="11">
        <f>VLOOKUP(B5,[1]Трансп!$A$3:$U$38,20,FALSE)/1000</f>
        <v>178.16</v>
      </c>
      <c r="D5" s="11">
        <f>VLOOKUP(B5,[1]Трансп!$A$3:$U$38,18,FALSE)/1000</f>
        <v>104.26528900000001</v>
      </c>
      <c r="E5" s="13">
        <f t="shared" si="0"/>
        <v>0.70871822932366291</v>
      </c>
    </row>
    <row r="6" spans="1:24" x14ac:dyDescent="0.25">
      <c r="A6">
        <v>4</v>
      </c>
      <c r="B6" t="s">
        <v>8</v>
      </c>
      <c r="C6" s="11">
        <f>VLOOKUP(B6,[1]Трансп!$A$3:$U$38,20,FALSE)/1000</f>
        <v>160.10400000000001</v>
      </c>
      <c r="D6" s="11">
        <f>VLOOKUP(B6,[1]Трансп!$A$3:$U$38,18,FALSE)/1000</f>
        <v>116.414</v>
      </c>
      <c r="E6" s="13">
        <f t="shared" si="0"/>
        <v>0.3752985036164036</v>
      </c>
    </row>
    <row r="7" spans="1:24" x14ac:dyDescent="0.25">
      <c r="A7">
        <v>5</v>
      </c>
      <c r="B7" t="s">
        <v>9</v>
      </c>
      <c r="C7" s="11">
        <f>VLOOKUP(B7,[1]Трансп!$A$3:$U$38,20,FALSE)/1000</f>
        <v>223.85599999999999</v>
      </c>
      <c r="D7" s="11">
        <f>VLOOKUP(B7,[1]Трансп!$A$3:$U$38,18,FALSE)/1000</f>
        <v>127.176</v>
      </c>
      <c r="E7" s="13">
        <f t="shared" si="0"/>
        <v>0.76020632823803225</v>
      </c>
    </row>
    <row r="8" spans="1:24" x14ac:dyDescent="0.25">
      <c r="A8">
        <v>6</v>
      </c>
      <c r="B8" t="s">
        <v>10</v>
      </c>
      <c r="C8" s="11">
        <f>VLOOKUP(B8,[1]Трансп!$A$3:$U$38,20,FALSE)/1000</f>
        <v>268.56799999999998</v>
      </c>
      <c r="D8" s="11">
        <f>VLOOKUP(B8,[1]Трансп!$A$3:$U$38,18,FALSE)/1000</f>
        <v>208.054</v>
      </c>
      <c r="E8" s="13">
        <f t="shared" si="0"/>
        <v>0.29085718130869864</v>
      </c>
    </row>
    <row r="9" spans="1:24" x14ac:dyDescent="0.25">
      <c r="A9">
        <v>7</v>
      </c>
      <c r="B9" t="s">
        <v>11</v>
      </c>
      <c r="C9" s="11">
        <f>VLOOKUP(B9,[1]Трансп!$A$3:$U$38,20,FALSE)/1000</f>
        <v>37.381999999999998</v>
      </c>
      <c r="D9" s="11">
        <f>VLOOKUP(B9,[1]Трансп!$A$3:$U$38,18,FALSE)/1000</f>
        <v>34.259</v>
      </c>
      <c r="E9" s="13">
        <f t="shared" si="0"/>
        <v>9.1158527686155288E-2</v>
      </c>
    </row>
    <row r="10" spans="1:24" x14ac:dyDescent="0.25">
      <c r="A10">
        <v>8</v>
      </c>
      <c r="B10" t="s">
        <v>12</v>
      </c>
      <c r="C10" s="11">
        <f>VLOOKUP(B10,[1]Трансп!$A$3:$U$38,20,FALSE)/1000</f>
        <v>50.48</v>
      </c>
      <c r="D10" s="11">
        <f>VLOOKUP(B10,[1]Трансп!$A$3:$U$38,18,FALSE)/1000</f>
        <v>47.75</v>
      </c>
      <c r="E10" s="13">
        <f t="shared" si="0"/>
        <v>5.7172774869109988E-2</v>
      </c>
    </row>
    <row r="11" spans="1:24" x14ac:dyDescent="0.25">
      <c r="A11">
        <v>9</v>
      </c>
      <c r="B11" t="s">
        <v>13</v>
      </c>
      <c r="C11" s="11">
        <f>VLOOKUP(B11,[1]Трансп!$A$3:$U$38,20,FALSE)/1000</f>
        <v>276.14499999999998</v>
      </c>
      <c r="D11" s="11">
        <f>VLOOKUP(B11,[1]Трансп!$A$3:$U$38,18,FALSE)/1000</f>
        <v>206.15</v>
      </c>
      <c r="E11" s="13">
        <f t="shared" si="0"/>
        <v>0.33953431967014303</v>
      </c>
    </row>
    <row r="12" spans="1:24" x14ac:dyDescent="0.25">
      <c r="A12">
        <v>10</v>
      </c>
      <c r="B12" t="s">
        <v>14</v>
      </c>
      <c r="C12" s="11">
        <f>VLOOKUP(B12,[1]Трансп!$A$3:$U$38,20,FALSE)/1000</f>
        <v>242.72200000000001</v>
      </c>
      <c r="D12" s="11">
        <f>VLOOKUP(B12,[1]Трансп!$A$3:$U$38,18,FALSE)/1000</f>
        <v>240.03700000000001</v>
      </c>
      <c r="E12" s="13">
        <f t="shared" si="0"/>
        <v>1.1185775526272979E-2</v>
      </c>
    </row>
    <row r="13" spans="1:24" x14ac:dyDescent="0.25">
      <c r="A13">
        <v>11</v>
      </c>
      <c r="B13" t="s">
        <v>15</v>
      </c>
      <c r="C13" s="11">
        <f>VLOOKUP(B13,[1]Трансп!$A$3:$U$38,20,FALSE)/1000</f>
        <v>216.18396999999999</v>
      </c>
      <c r="D13" s="11">
        <f>VLOOKUP(B13,[1]Трансп!$A$3:$U$38,18,FALSE)/1000</f>
        <v>216.62700000000001</v>
      </c>
      <c r="E13" s="13">
        <f t="shared" si="0"/>
        <v>-2.0451282619434741E-3</v>
      </c>
    </row>
    <row r="14" spans="1:24" x14ac:dyDescent="0.25">
      <c r="A14">
        <v>12</v>
      </c>
      <c r="B14" t="s">
        <v>16</v>
      </c>
      <c r="C14" s="11">
        <f>VLOOKUP(B14,[1]Трансп!$A$3:$U$38,20,FALSE)/1000</f>
        <v>358.178</v>
      </c>
      <c r="D14" s="11">
        <f>VLOOKUP(B14,[1]Трансп!$A$3:$U$38,18,FALSE)/1000</f>
        <v>323.38499999999999</v>
      </c>
      <c r="E14" s="13">
        <f t="shared" si="0"/>
        <v>0.10759002427447162</v>
      </c>
    </row>
    <row r="15" spans="1:24" x14ac:dyDescent="0.25">
      <c r="A15">
        <v>13</v>
      </c>
      <c r="B15" t="s">
        <v>17</v>
      </c>
      <c r="C15" s="11">
        <f>VLOOKUP(B15,[1]Трансп!$A$3:$U$38,20,FALSE)/1000</f>
        <v>790.81500000000005</v>
      </c>
      <c r="D15" s="11">
        <f>VLOOKUP(B15,[1]Трансп!$A$3:$U$38,18,FALSE)/1000</f>
        <v>782.12400000000002</v>
      </c>
      <c r="E15" s="13">
        <f t="shared" si="0"/>
        <v>1.111204872884608E-2</v>
      </c>
    </row>
    <row r="16" spans="1:24" x14ac:dyDescent="0.25">
      <c r="A16">
        <v>14</v>
      </c>
      <c r="B16" t="s">
        <v>18</v>
      </c>
      <c r="C16" s="11">
        <f>VLOOKUP(B16,[1]Трансп!$A$3:$U$38,20,FALSE)/1000</f>
        <v>730.22840000000008</v>
      </c>
      <c r="D16" s="11">
        <f>VLOOKUP(B16,[1]Трансп!$A$3:$U$38,18,FALSE)/1000</f>
        <v>489.79040000000003</v>
      </c>
      <c r="E16" s="13">
        <f t="shared" si="0"/>
        <v>0.49089978080419705</v>
      </c>
    </row>
    <row r="17" spans="1:5" x14ac:dyDescent="0.25">
      <c r="A17">
        <v>15</v>
      </c>
      <c r="B17" t="s">
        <v>19</v>
      </c>
      <c r="C17" s="11">
        <f>VLOOKUP(B17,[1]Трансп!$A$3:$U$38,20,FALSE)/1000</f>
        <v>56.040999999999997</v>
      </c>
      <c r="D17" s="11">
        <f>VLOOKUP(B17,[1]Трансп!$A$3:$U$38,18,FALSE)/1000</f>
        <v>101.48</v>
      </c>
      <c r="E17" s="13">
        <f t="shared" si="0"/>
        <v>-0.44776310603074498</v>
      </c>
    </row>
    <row r="18" spans="1:5" x14ac:dyDescent="0.25">
      <c r="A18">
        <v>16</v>
      </c>
      <c r="B18" t="s">
        <v>20</v>
      </c>
      <c r="C18" s="11">
        <f>VLOOKUP(B18,[1]Трансп!$A$3:$U$38,20,FALSE)/1000</f>
        <v>160.28200000000001</v>
      </c>
      <c r="D18" s="11">
        <f>VLOOKUP(B18,[1]Трансп!$A$3:$U$38,18,FALSE)/1000</f>
        <v>76.936999999999998</v>
      </c>
      <c r="E18" s="13">
        <f t="shared" si="0"/>
        <v>1.0832889247046285</v>
      </c>
    </row>
    <row r="19" spans="1:5" x14ac:dyDescent="0.25">
      <c r="A19">
        <v>17</v>
      </c>
      <c r="B19" t="s">
        <v>21</v>
      </c>
      <c r="C19" s="11">
        <f>VLOOKUP(B19,[1]Трансп!$A$3:$U$38,20,FALSE)/1000</f>
        <v>230.785</v>
      </c>
      <c r="D19" s="11">
        <f>VLOOKUP(B19,[1]Трансп!$A$3:$U$38,18,FALSE)/1000</f>
        <v>201.50899999999999</v>
      </c>
      <c r="E19" s="13">
        <f t="shared" si="0"/>
        <v>0.14528383347642038</v>
      </c>
    </row>
    <row r="20" spans="1:5" x14ac:dyDescent="0.25">
      <c r="A20">
        <v>18</v>
      </c>
      <c r="B20" t="s">
        <v>22</v>
      </c>
      <c r="C20" s="11">
        <f>VLOOKUP(B20,[1]Трансп!$A$3:$U$38,20,FALSE)/1000</f>
        <v>172.09200000000001</v>
      </c>
      <c r="D20" s="11">
        <f>VLOOKUP(B20,[1]Трансп!$A$3:$U$38,18,FALSE)/1000</f>
        <v>164.35300000000001</v>
      </c>
      <c r="E20" s="13">
        <f t="shared" si="0"/>
        <v>4.7087671049509394E-2</v>
      </c>
    </row>
    <row r="21" spans="1:5" x14ac:dyDescent="0.25">
      <c r="A21">
        <v>19</v>
      </c>
      <c r="B21" t="s">
        <v>23</v>
      </c>
      <c r="C21" s="11">
        <f>VLOOKUP(B21,[1]Трансп!$A$3:$U$38,20,FALSE)/1000</f>
        <v>361.62599999999998</v>
      </c>
      <c r="D21" s="11">
        <f>VLOOKUP(B21,[1]Трансп!$A$3:$U$38,18,FALSE)/1000</f>
        <v>430.34699999999998</v>
      </c>
      <c r="E21" s="13">
        <f t="shared" si="0"/>
        <v>-0.15968741503949135</v>
      </c>
    </row>
    <row r="22" spans="1:5" x14ac:dyDescent="0.25">
      <c r="A22">
        <v>20</v>
      </c>
      <c r="B22" t="s">
        <v>24</v>
      </c>
    </row>
    <row r="23" spans="1:5" x14ac:dyDescent="0.25">
      <c r="A23">
        <v>21</v>
      </c>
      <c r="B23" t="s">
        <v>25</v>
      </c>
      <c r="C23" s="11">
        <f>VLOOKUP(B23,[1]Трансп!$A$3:$U$38,20,FALSE)/1000</f>
        <v>230.98</v>
      </c>
      <c r="D23" s="11">
        <f>VLOOKUP(B23,[1]Трансп!$A$3:$U$38,18,FALSE)/1000</f>
        <v>226.30699999999999</v>
      </c>
      <c r="E23" s="13">
        <f t="shared" ref="E23:E66" si="1">C23/D23-1</f>
        <v>2.0648941482146022E-2</v>
      </c>
    </row>
    <row r="24" spans="1:5" x14ac:dyDescent="0.25">
      <c r="A24">
        <v>22</v>
      </c>
      <c r="B24" t="s">
        <v>26</v>
      </c>
      <c r="C24" s="11">
        <f>VLOOKUP(B24,[1]Трансп!$A$3:$U$38,20,FALSE)/1000</f>
        <v>167.822</v>
      </c>
      <c r="D24" s="11">
        <f>VLOOKUP(B24,[1]Трансп!$A$3:$U$38,18,FALSE)/1000</f>
        <v>233.637</v>
      </c>
      <c r="E24" s="13">
        <f t="shared" si="1"/>
        <v>-0.281697676309831</v>
      </c>
    </row>
    <row r="25" spans="1:5" x14ac:dyDescent="0.25">
      <c r="A25">
        <v>23</v>
      </c>
      <c r="B25" t="s">
        <v>27</v>
      </c>
      <c r="C25" s="11">
        <f>VLOOKUP(B25,[1]Трансп!$A$3:$U$38,20,FALSE)/1000</f>
        <v>484.13671999999997</v>
      </c>
      <c r="D25" s="11">
        <f>VLOOKUP(B25,[1]Трансп!$A$3:$U$38,18,FALSE)/1000</f>
        <v>437.79642000000001</v>
      </c>
      <c r="E25" s="13">
        <f t="shared" si="1"/>
        <v>0.10584896971062485</v>
      </c>
    </row>
    <row r="26" spans="1:5" x14ac:dyDescent="0.25">
      <c r="A26">
        <v>24</v>
      </c>
      <c r="B26" t="s">
        <v>28</v>
      </c>
      <c r="C26" s="11">
        <f>VLOOKUP(B26,[1]Трансп!$A$3:$U$38,20,FALSE)/1000</f>
        <v>214.49299999999999</v>
      </c>
      <c r="D26" s="11">
        <f>VLOOKUP(B26,[1]Трансп!$A$3:$U$38,18,FALSE)/1000</f>
        <v>95.495000000000005</v>
      </c>
      <c r="E26" s="13">
        <f t="shared" si="1"/>
        <v>1.2461175977799885</v>
      </c>
    </row>
    <row r="27" spans="1:5" x14ac:dyDescent="0.25">
      <c r="A27">
        <v>25</v>
      </c>
      <c r="B27" t="s">
        <v>29</v>
      </c>
      <c r="C27" s="11">
        <f>VLOOKUP(B27,[1]Трансп!$A$3:$U$38,20,FALSE)/1000</f>
        <v>124.093</v>
      </c>
      <c r="D27" s="11">
        <f>VLOOKUP(B27,[1]Трансп!$A$3:$U$38,18,FALSE)/1000</f>
        <v>145.732</v>
      </c>
      <c r="E27" s="13">
        <f t="shared" si="1"/>
        <v>-0.14848489007218724</v>
      </c>
    </row>
    <row r="28" spans="1:5" x14ac:dyDescent="0.25">
      <c r="A28">
        <v>26</v>
      </c>
      <c r="B28" t="s">
        <v>30</v>
      </c>
      <c r="C28" s="11">
        <f>VLOOKUP(B28,[1]Трансп!$A$3:$U$38,20,FALSE)/1000</f>
        <v>546.13576</v>
      </c>
      <c r="D28" s="11">
        <f>VLOOKUP(B28,[1]Трансп!$A$3:$U$38,18,FALSE)/1000</f>
        <v>623.96500000000003</v>
      </c>
      <c r="E28" s="13">
        <f t="shared" si="1"/>
        <v>-0.12473334241503931</v>
      </c>
    </row>
    <row r="29" spans="1:5" x14ac:dyDescent="0.25">
      <c r="A29">
        <v>27</v>
      </c>
      <c r="B29" t="s">
        <v>31</v>
      </c>
      <c r="C29" s="11" t="e">
        <f>VLOOKUP(B29,[1]Трансп!$A$3:$U$38,20,FALSE)/1000</f>
        <v>#N/A</v>
      </c>
      <c r="D29" s="11" t="e">
        <f>VLOOKUP(B29,[1]Трансп!$A$3:$U$38,18,FALSE)/1000</f>
        <v>#N/A</v>
      </c>
      <c r="E29" s="13" t="e">
        <f t="shared" si="1"/>
        <v>#N/A</v>
      </c>
    </row>
    <row r="30" spans="1:5" x14ac:dyDescent="0.25">
      <c r="A30">
        <v>28</v>
      </c>
      <c r="B30" t="s">
        <v>32</v>
      </c>
      <c r="C30" s="11">
        <f>VLOOKUP(B30,[1]Трансп!$A$3:$U$38,20,FALSE)/1000</f>
        <v>350.75957</v>
      </c>
      <c r="D30" s="11">
        <f>VLOOKUP(B30,[1]Трансп!$A$3:$U$38,18,FALSE)/1000</f>
        <v>378.19499999999999</v>
      </c>
      <c r="E30" s="13">
        <f t="shared" si="1"/>
        <v>-7.2543079628234142E-2</v>
      </c>
    </row>
    <row r="31" spans="1:5" x14ac:dyDescent="0.25">
      <c r="A31">
        <v>29</v>
      </c>
      <c r="B31" t="s">
        <v>33</v>
      </c>
      <c r="C31" s="11">
        <f>VLOOKUP(B31,[1]Трансп!$A$3:$U$38,20,FALSE)/1000</f>
        <v>40.270000000000003</v>
      </c>
      <c r="D31" s="11">
        <f>VLOOKUP(B31,[1]Трансп!$A$3:$U$38,18,FALSE)/1000</f>
        <v>42.13</v>
      </c>
      <c r="E31" s="13">
        <f t="shared" si="1"/>
        <v>-4.4149062425824837E-2</v>
      </c>
    </row>
    <row r="32" spans="1:5" x14ac:dyDescent="0.25">
      <c r="A32">
        <v>30</v>
      </c>
      <c r="B32" t="s">
        <v>34</v>
      </c>
      <c r="C32" s="11">
        <f>VLOOKUP(B32,[1]Трансп!$A$3:$U$38,20,FALSE)/1000</f>
        <v>388.70318599999996</v>
      </c>
      <c r="D32" s="11">
        <f>VLOOKUP(B32,[1]Трансп!$A$3:$U$38,18,FALSE)/1000</f>
        <v>437.04500000000002</v>
      </c>
      <c r="E32" s="13">
        <f t="shared" si="1"/>
        <v>-0.11061060989143012</v>
      </c>
    </row>
    <row r="33" spans="1:5" x14ac:dyDescent="0.25">
      <c r="A33">
        <v>31</v>
      </c>
      <c r="B33" t="s">
        <v>35</v>
      </c>
      <c r="C33" s="11">
        <f>VLOOKUP(B33,[1]Трансп!$A$3:$U$38,20,FALSE)/1000</f>
        <v>501.48</v>
      </c>
      <c r="D33" s="11">
        <f>VLOOKUP(B33,[1]Трансп!$A$3:$U$38,18,FALSE)/1000</f>
        <v>380.53065999999995</v>
      </c>
      <c r="E33" s="13">
        <f t="shared" si="1"/>
        <v>0.31784387623325827</v>
      </c>
    </row>
    <row r="34" spans="1:5" x14ac:dyDescent="0.25">
      <c r="A34">
        <v>32</v>
      </c>
      <c r="B34" t="s">
        <v>36</v>
      </c>
      <c r="C34" s="11">
        <f>VLOOKUP(B34,[1]Трансп!$A$3:$U$38,20,FALSE)/1000</f>
        <v>23.593</v>
      </c>
      <c r="D34" s="11">
        <f>VLOOKUP(B34,[1]Трансп!$A$3:$U$38,18,FALSE)/1000</f>
        <v>21.579000000000001</v>
      </c>
      <c r="E34" s="13">
        <f t="shared" si="1"/>
        <v>9.3331479679317875E-2</v>
      </c>
    </row>
    <row r="35" spans="1:5" x14ac:dyDescent="0.25">
      <c r="A35">
        <v>33</v>
      </c>
      <c r="B35" t="s">
        <v>37</v>
      </c>
      <c r="C35" s="11">
        <f>VLOOKUP(B35,[1]Трансп!$A$3:$U$38,20,FALSE)/1000</f>
        <v>222.494</v>
      </c>
      <c r="D35" s="11">
        <f>VLOOKUP(B35,[1]Трансп!$A$3:$U$38,18,FALSE)/1000</f>
        <v>151.55799999999999</v>
      </c>
      <c r="E35" s="13">
        <f t="shared" si="1"/>
        <v>0.46804523680703114</v>
      </c>
    </row>
    <row r="36" spans="1:5" x14ac:dyDescent="0.25">
      <c r="A36">
        <v>34</v>
      </c>
      <c r="B36" t="s">
        <v>38</v>
      </c>
      <c r="C36" s="11">
        <f>VLOOKUP(B36,[1]Трансп!$A$3:$U$38,20,FALSE)/1000</f>
        <v>650.14499999999998</v>
      </c>
      <c r="D36" s="11">
        <f>VLOOKUP(B36,[1]Трансп!$A$3:$U$38,18,FALSE)/1000</f>
        <v>290.56799999999998</v>
      </c>
      <c r="E36" s="13">
        <f t="shared" si="1"/>
        <v>1.2374969026183202</v>
      </c>
    </row>
    <row r="37" spans="1:5" x14ac:dyDescent="0.25">
      <c r="A37">
        <v>35</v>
      </c>
      <c r="B37" t="s">
        <v>39</v>
      </c>
      <c r="C37" s="11">
        <f>VLOOKUP(B37,[1]Трансп!$A$3:$U$38,20,FALSE)/1000</f>
        <v>328.303</v>
      </c>
      <c r="D37" s="11">
        <f>VLOOKUP(B37,[1]Трансп!$A$3:$U$38,18,FALSE)/1000</f>
        <v>294.02100000000002</v>
      </c>
      <c r="E37" s="13">
        <f t="shared" si="1"/>
        <v>0.11659711381159843</v>
      </c>
    </row>
    <row r="38" spans="1:5" x14ac:dyDescent="0.25">
      <c r="A38">
        <v>36</v>
      </c>
      <c r="B38" t="s">
        <v>40</v>
      </c>
      <c r="C38" s="11">
        <f>VLOOKUP(B38,[1]Трансп!$A$3:$U$38,20,FALSE)/1000</f>
        <v>34.62059</v>
      </c>
      <c r="D38" s="11">
        <f>VLOOKUP(B38,[1]Трансп!$A$3:$U$38,18,FALSE)/1000</f>
        <v>25.484999999999999</v>
      </c>
      <c r="E38" s="13">
        <f t="shared" si="1"/>
        <v>0.35846929566411623</v>
      </c>
    </row>
    <row r="39" spans="1:5" x14ac:dyDescent="0.25">
      <c r="A39">
        <v>37</v>
      </c>
      <c r="B39" t="s">
        <v>41</v>
      </c>
      <c r="C39" s="11">
        <f>VLOOKUP(B39,[1]Трансп!$A$3:$U$38,20,FALSE)/1000</f>
        <v>215.945866</v>
      </c>
      <c r="D39" s="11">
        <f>VLOOKUP(B39,[1]Трансп!$A$3:$U$38,18,FALSE)/1000</f>
        <v>118.44</v>
      </c>
      <c r="E39" s="13">
        <f t="shared" si="1"/>
        <v>0.82325114826072276</v>
      </c>
    </row>
    <row r="40" spans="1:5" x14ac:dyDescent="0.25">
      <c r="A40">
        <v>38</v>
      </c>
      <c r="B40" t="s">
        <v>42</v>
      </c>
      <c r="C40" s="11">
        <f>(VLOOKUP(B40,[2]Трансп!A$2:CP$32,32,FALSE)+VLOOKUP(B40,[2]Трансп!A$2:CP$32,55,FALSE)+VLOOKUP(B40,[2]Трансп!A$2:CP$32,75,FALSE)+VLOOKUP(B40,[2]Трансп!A$2:CP$32,87,FALSE))/1000</f>
        <v>5227.7790000000005</v>
      </c>
      <c r="D40" s="11">
        <f>(VLOOKUP(B40,[2]Трансп!A$2:CP$32,30,FALSE)+VLOOKUP(B40,[2]Трансп!A$2:CP$32,53,FALSE)+VLOOKUP(B40,[2]Трансп!A$2:CP$32,73,FALSE)+VLOOKUP(B40,[2]Трансп!A$2:CP$32,85,FALSE))/1000</f>
        <v>4378.2190000000001</v>
      </c>
      <c r="E40" s="13">
        <f t="shared" si="1"/>
        <v>0.19404237202387553</v>
      </c>
    </row>
    <row r="41" spans="1:5" x14ac:dyDescent="0.25">
      <c r="A41">
        <v>40</v>
      </c>
      <c r="B41" t="s">
        <v>44</v>
      </c>
      <c r="C41" s="11">
        <f>(VLOOKUP(B41,[2]Трансп!A$2:CP$32,32,FALSE)+VLOOKUP(B41,[2]Трансп!A$2:CP$32,55,FALSE)+VLOOKUP(B41,[2]Трансп!A$2:CP$32,75,FALSE)+VLOOKUP(B41,[2]Трансп!A$2:CP$32,87,FALSE))/1000</f>
        <v>240.15</v>
      </c>
      <c r="D41" s="11">
        <f>(VLOOKUP(B41,[2]Трансп!A$2:CP$32,30,FALSE)+VLOOKUP(B41,[2]Трансп!A$2:CP$32,53,FALSE)+VLOOKUP(B41,[2]Трансп!A$2:CP$32,73,FALSE)+VLOOKUP(B41,[2]Трансп!A$2:CP$32,85,FALSE))/1000</f>
        <v>109.4</v>
      </c>
      <c r="E41" s="13">
        <f t="shared" si="1"/>
        <v>1.1951553930530165</v>
      </c>
    </row>
    <row r="42" spans="1:5" x14ac:dyDescent="0.25">
      <c r="A42">
        <v>41</v>
      </c>
      <c r="B42" t="s">
        <v>45</v>
      </c>
      <c r="C42" s="11">
        <f>(VLOOKUP(B42,[2]Трансп!A$2:CP$32,32,FALSE)+VLOOKUP(B42,[2]Трансп!A$2:CP$32,55,FALSE)+VLOOKUP(B42,[2]Трансп!A$2:CP$32,75,FALSE)+VLOOKUP(B42,[2]Трансп!A$2:CP$32,87,FALSE))/1000</f>
        <v>7272.7209999999995</v>
      </c>
      <c r="D42" s="11">
        <f>(VLOOKUP(B42,[2]Трансп!A$2:CP$32,30,FALSE)+VLOOKUP(B42,[2]Трансп!A$2:CP$32,53,FALSE)+VLOOKUP(B42,[2]Трансп!A$2:CP$32,73,FALSE)+VLOOKUP(B42,[2]Трансп!A$2:CP$32,85,FALSE))/1000</f>
        <v>2376.32141</v>
      </c>
      <c r="E42" s="13">
        <f t="shared" si="1"/>
        <v>2.0604955076342133</v>
      </c>
    </row>
    <row r="43" spans="1:5" x14ac:dyDescent="0.25">
      <c r="A43">
        <v>42</v>
      </c>
      <c r="B43" t="s">
        <v>46</v>
      </c>
      <c r="C43" s="11">
        <f>(VLOOKUP(B43,[2]Трансп!A$2:CP$32,32,FALSE)+VLOOKUP(B43,[2]Трансп!A$2:CP$32,55,FALSE)+VLOOKUP(B43,[2]Трансп!A$2:CP$32,75,FALSE)+VLOOKUP(B43,[2]Трансп!A$2:CP$32,87,FALSE))/1000</f>
        <v>1958.7080000000001</v>
      </c>
      <c r="D43" s="11">
        <f>(VLOOKUP(B43,[2]Трансп!A$2:CP$32,30,FALSE)+VLOOKUP(B43,[2]Трансп!A$2:CP$32,53,FALSE)+VLOOKUP(B43,[2]Трансп!A$2:CP$32,73,FALSE)+VLOOKUP(B43,[2]Трансп!A$2:CP$32,85,FALSE))/1000</f>
        <v>2316.8389999999999</v>
      </c>
      <c r="E43" s="13">
        <f t="shared" si="1"/>
        <v>-0.15457742208241487</v>
      </c>
    </row>
    <row r="44" spans="1:5" x14ac:dyDescent="0.25">
      <c r="A44">
        <v>43</v>
      </c>
      <c r="B44" t="s">
        <v>47</v>
      </c>
      <c r="C44" s="11">
        <f>(VLOOKUP(B44,[2]Трансп!A$2:CP$32,32,FALSE)+VLOOKUP(B44,[2]Трансп!A$2:CP$32,55,FALSE)+VLOOKUP(B44,[2]Трансп!A$2:CP$32,75,FALSE)+VLOOKUP(B44,[2]Трансп!A$2:CP$32,87,FALSE))/1000</f>
        <v>160.88800000000001</v>
      </c>
      <c r="D44" s="11">
        <f>(VLOOKUP(B44,[2]Трансп!A$2:CP$32,30,FALSE)+VLOOKUP(B44,[2]Трансп!A$2:CP$32,53,FALSE)+VLOOKUP(B44,[2]Трансп!A$2:CP$32,73,FALSE)+VLOOKUP(B44,[2]Трансп!A$2:CP$32,85,FALSE))/1000</f>
        <v>536.95000000000005</v>
      </c>
      <c r="E44" s="13">
        <f t="shared" si="1"/>
        <v>-0.70036688704721106</v>
      </c>
    </row>
    <row r="45" spans="1:5" x14ac:dyDescent="0.25">
      <c r="A45">
        <v>44</v>
      </c>
      <c r="B45" t="s">
        <v>48</v>
      </c>
      <c r="C45" s="11">
        <f>(VLOOKUP(B45,[2]Трансп!A$2:CP$32,32,FALSE)+VLOOKUP(B45,[2]Трансп!A$2:CP$32,55,FALSE)+VLOOKUP(B45,[2]Трансп!A$2:CP$32,75,FALSE)+VLOOKUP(B45,[2]Трансп!A$2:CP$32,87,FALSE))/1000</f>
        <v>4562.7085999999999</v>
      </c>
      <c r="D45" s="11">
        <f>(VLOOKUP(B45,[2]Трансп!A$2:CP$32,30,FALSE)+VLOOKUP(B45,[2]Трансп!A$2:CP$32,53,FALSE)+VLOOKUP(B45,[2]Трансп!A$2:CP$32,73,FALSE)+VLOOKUP(B45,[2]Трансп!A$2:CP$32,85,FALSE))/1000</f>
        <v>3116.5520000000001</v>
      </c>
      <c r="E45" s="13">
        <f t="shared" si="1"/>
        <v>0.46402453737335358</v>
      </c>
    </row>
    <row r="46" spans="1:5" x14ac:dyDescent="0.25">
      <c r="A46">
        <v>45</v>
      </c>
      <c r="B46" t="s">
        <v>49</v>
      </c>
      <c r="C46" s="11">
        <f>(VLOOKUP(B46,[2]Трансп!A$2:CP$32,32,FALSE)+VLOOKUP(B46,[2]Трансп!A$2:CP$32,55,FALSE)+VLOOKUP(B46,[2]Трансп!A$2:CP$32,75,FALSE)+VLOOKUP(B46,[2]Трансп!A$2:CP$32,87,FALSE))/1000</f>
        <v>4971.6019999999999</v>
      </c>
      <c r="D46" s="11">
        <f>(VLOOKUP(B46,[2]Трансп!A$2:CP$32,30,FALSE)+VLOOKUP(B46,[2]Трансп!A$2:CP$32,53,FALSE)+VLOOKUP(B46,[2]Трансп!A$2:CP$32,73,FALSE)+VLOOKUP(B46,[2]Трансп!A$2:CP$32,85,FALSE))/1000</f>
        <v>3770.3870000000002</v>
      </c>
      <c r="E46" s="13">
        <f t="shared" si="1"/>
        <v>0.31859196416707336</v>
      </c>
    </row>
    <row r="47" spans="1:5" x14ac:dyDescent="0.25">
      <c r="A47">
        <v>46</v>
      </c>
      <c r="B47" t="s">
        <v>50</v>
      </c>
      <c r="C47" s="11">
        <f>(VLOOKUP(B47,[2]Трансп!A$2:CP$32,32,FALSE)+VLOOKUP(B47,[2]Трансп!A$2:CP$32,55,FALSE)+VLOOKUP(B47,[2]Трансп!A$2:CP$32,75,FALSE)+VLOOKUP(B47,[2]Трансп!A$2:CP$32,87,FALSE))/1000</f>
        <v>85.15</v>
      </c>
      <c r="D47" s="11">
        <f>(VLOOKUP(B47,[2]Трансп!A$2:CP$32,30,FALSE)+VLOOKUP(B47,[2]Трансп!A$2:CP$32,53,FALSE)+VLOOKUP(B47,[2]Трансп!A$2:CP$32,73,FALSE)+VLOOKUP(B47,[2]Трансп!A$2:CP$32,85,FALSE))/1000</f>
        <v>79.653000000000006</v>
      </c>
      <c r="E47" s="13">
        <f t="shared" si="1"/>
        <v>6.9011838851016361E-2</v>
      </c>
    </row>
    <row r="48" spans="1:5" x14ac:dyDescent="0.25">
      <c r="A48">
        <v>47</v>
      </c>
      <c r="B48" t="s">
        <v>51</v>
      </c>
      <c r="C48" s="11">
        <f>(VLOOKUP(B48,[2]Трансп!A$2:CP$32,32,FALSE)+VLOOKUP(B48,[2]Трансп!A$2:CP$32,55,FALSE)+VLOOKUP(B48,[2]Трансп!A$2:CP$32,75,FALSE)+VLOOKUP(B48,[2]Трансп!A$2:CP$32,87,FALSE))/1000</f>
        <v>1245.74</v>
      </c>
      <c r="D48" s="11">
        <f>(VLOOKUP(B48,[2]Трансп!A$2:CP$32,30,FALSE)+VLOOKUP(B48,[2]Трансп!A$2:CP$32,53,FALSE)+VLOOKUP(B48,[2]Трансп!A$2:CP$32,73,FALSE)+VLOOKUP(B48,[2]Трансп!A$2:CP$32,85,FALSE))/1000</f>
        <v>521.072</v>
      </c>
      <c r="E48" s="13">
        <f t="shared" si="1"/>
        <v>1.390725274050419</v>
      </c>
    </row>
    <row r="49" spans="1:5" x14ac:dyDescent="0.25">
      <c r="A49">
        <v>48</v>
      </c>
      <c r="B49" t="s">
        <v>52</v>
      </c>
      <c r="C49" s="11">
        <f>(VLOOKUP(B49,[2]Трансп!A$2:CP$32,32,FALSE)+VLOOKUP(B49,[2]Трансп!A$2:CP$32,55,FALSE)+VLOOKUP(B49,[2]Трансп!A$2:CP$32,75,FALSE)+VLOOKUP(B49,[2]Трансп!A$2:CP$32,87,FALSE))/1000</f>
        <v>463.71300000000002</v>
      </c>
      <c r="D49" s="11">
        <f>(VLOOKUP(B49,[2]Трансп!A$2:CP$32,30,FALSE)+VLOOKUP(B49,[2]Трансп!A$2:CP$32,53,FALSE)+VLOOKUP(B49,[2]Трансп!A$2:CP$32,73,FALSE)+VLOOKUP(B49,[2]Трансп!A$2:CP$32,85,FALSE))/1000</f>
        <v>429.82400000000001</v>
      </c>
      <c r="E49" s="13">
        <f t="shared" si="1"/>
        <v>7.8843898898153686E-2</v>
      </c>
    </row>
    <row r="50" spans="1:5" x14ac:dyDescent="0.25">
      <c r="A50">
        <v>49</v>
      </c>
      <c r="B50" s="10" t="s">
        <v>53</v>
      </c>
      <c r="C50" s="12">
        <f>(VLOOKUP(B50,[2]Трансп!A$2:CP$32,32,FALSE)+VLOOKUP(B50,[2]Трансп!A$2:CP$32,55,FALSE)+VLOOKUP(B50,[2]Трансп!A$2:CP$32,75,FALSE)+VLOOKUP(B50,[2]Трансп!A$2:CP$32,87,FALSE))/1000</f>
        <v>3796.5559120699995</v>
      </c>
      <c r="D50" s="12">
        <f>(VLOOKUP(B50,[2]Трансп!A$2:CP$32,30,FALSE)+VLOOKUP(B50,[2]Трансп!A$2:CP$32,53,FALSE)+VLOOKUP(B50,[2]Трансп!A$2:CP$32,73,FALSE)+VLOOKUP(B50,[2]Трансп!A$2:CP$32,85,FALSE))/1000</f>
        <v>2204.33797529</v>
      </c>
      <c r="E50" s="14">
        <f t="shared" si="1"/>
        <v>0.72231116762869774</v>
      </c>
    </row>
    <row r="51" spans="1:5" x14ac:dyDescent="0.25">
      <c r="A51">
        <v>50</v>
      </c>
      <c r="B51" t="s">
        <v>54</v>
      </c>
      <c r="C51" s="11">
        <f>(VLOOKUP(B51,[2]Трансп!A$2:CP$32,32,FALSE)+VLOOKUP(B51,[2]Трансп!A$2:CP$32,55,FALSE)+VLOOKUP(B51,[2]Трансп!A$2:CP$32,75,FALSE)+VLOOKUP(B51,[2]Трансп!A$2:CP$32,87,FALSE))/1000</f>
        <v>16615.432000000001</v>
      </c>
      <c r="D51" s="11">
        <f>(VLOOKUP(B51,[2]Трансп!A$2:CP$32,30,FALSE)+VLOOKUP(B51,[2]Трансп!A$2:CP$32,53,FALSE)+VLOOKUP(B51,[2]Трансп!A$2:CP$32,73,FALSE)+VLOOKUP(B51,[2]Трансп!A$2:CP$32,85,FALSE))/1000</f>
        <v>7078.7520000000004</v>
      </c>
      <c r="E51" s="13">
        <f t="shared" si="1"/>
        <v>1.3472261777217227</v>
      </c>
    </row>
    <row r="52" spans="1:5" x14ac:dyDescent="0.25">
      <c r="A52">
        <v>51</v>
      </c>
      <c r="B52" t="s">
        <v>55</v>
      </c>
      <c r="C52" s="11">
        <f>(VLOOKUP(B52,[2]Трансп!A$2:CP$32,32,FALSE)+VLOOKUP(B52,[2]Трансп!A$2:CP$32,55,FALSE)+VLOOKUP(B52,[2]Трансп!A$2:CP$32,75,FALSE)+VLOOKUP(B52,[2]Трансп!A$2:CP$32,87,FALSE))/1000</f>
        <v>1286.847</v>
      </c>
      <c r="D52" s="11">
        <f>(VLOOKUP(B52,[2]Трансп!A$2:CP$32,30,FALSE)+VLOOKUP(B52,[2]Трансп!A$2:CP$32,53,FALSE)+VLOOKUP(B52,[2]Трансп!A$2:CP$32,73,FALSE)+VLOOKUP(B52,[2]Трансп!A$2:CP$32,85,FALSE))/1000</f>
        <v>551.96699999999998</v>
      </c>
      <c r="E52" s="13">
        <f t="shared" si="1"/>
        <v>1.3313839414312811</v>
      </c>
    </row>
    <row r="53" spans="1:5" x14ac:dyDescent="0.25">
      <c r="A53">
        <v>52</v>
      </c>
      <c r="B53" t="s">
        <v>56</v>
      </c>
      <c r="C53" s="11">
        <f>(VLOOKUP(B53,[2]Трансп!A$2:CP$32,32,FALSE)+VLOOKUP(B53,[2]Трансп!A$2:CP$32,55,FALSE)+VLOOKUP(B53,[2]Трансп!A$2:CP$32,75,FALSE)+VLOOKUP(B53,[2]Трансп!A$2:CP$32,87,FALSE))/1000</f>
        <v>1679.85960991</v>
      </c>
      <c r="D53" s="11">
        <f>(VLOOKUP(B53,[2]Трансп!A$2:CP$32,30,FALSE)+VLOOKUP(B53,[2]Трансп!A$2:CP$32,53,FALSE)+VLOOKUP(B53,[2]Трансп!A$2:CP$32,73,FALSE)+VLOOKUP(B53,[2]Трансп!A$2:CP$32,85,FALSE))/1000</f>
        <v>1335.5808319999999</v>
      </c>
      <c r="E53" s="13">
        <f t="shared" si="1"/>
        <v>0.25777457242662805</v>
      </c>
    </row>
    <row r="54" spans="1:5" x14ac:dyDescent="0.25">
      <c r="A54">
        <v>53</v>
      </c>
      <c r="B54" t="s">
        <v>57</v>
      </c>
      <c r="C54" s="11">
        <f>(VLOOKUP(B54,[2]Трансп!A$2:CP$32,32,FALSE)+VLOOKUP(B54,[2]Трансп!A$2:CP$32,55,FALSE)+VLOOKUP(B54,[2]Трансп!A$2:CP$32,75,FALSE)+VLOOKUP(B54,[2]Трансп!A$2:CP$32,87,FALSE))/1000</f>
        <v>884.83955200000003</v>
      </c>
      <c r="D54" s="11">
        <f>(VLOOKUP(B54,[2]Трансп!A$2:CP$32,30,FALSE)+VLOOKUP(B54,[2]Трансп!A$2:CP$32,53,FALSE)+VLOOKUP(B54,[2]Трансп!A$2:CP$32,73,FALSE)+VLOOKUP(B54,[2]Трансп!A$2:CP$32,85,FALSE))/1000</f>
        <v>252.53299999999999</v>
      </c>
      <c r="E54" s="13">
        <f t="shared" si="1"/>
        <v>2.5038571275833261</v>
      </c>
    </row>
    <row r="55" spans="1:5" x14ac:dyDescent="0.25">
      <c r="A55">
        <v>54</v>
      </c>
      <c r="B55" t="s">
        <v>58</v>
      </c>
      <c r="C55" s="11">
        <f>(VLOOKUP(B55,[2]Трансп!A$2:CP$32,32,FALSE)+VLOOKUP(B55,[2]Трансп!A$2:CP$32,55,FALSE)+VLOOKUP(B55,[2]Трансп!A$2:CP$32,75,FALSE)+VLOOKUP(B55,[2]Трансп!A$2:CP$32,87,FALSE))/1000</f>
        <v>486.03899999999999</v>
      </c>
      <c r="D55" s="11">
        <f>(VLOOKUP(B55,[2]Трансп!A$2:CP$32,30,FALSE)+VLOOKUP(B55,[2]Трансп!A$2:CP$32,53,FALSE)+VLOOKUP(B55,[2]Трансп!A$2:CP$32,73,FALSE)+VLOOKUP(B55,[2]Трансп!A$2:CP$32,85,FALSE))/1000</f>
        <v>510.41199999999998</v>
      </c>
      <c r="E55" s="13">
        <f t="shared" si="1"/>
        <v>-4.7751620259711691E-2</v>
      </c>
    </row>
    <row r="56" spans="1:5" x14ac:dyDescent="0.25">
      <c r="A56">
        <v>55</v>
      </c>
      <c r="B56" t="s">
        <v>59</v>
      </c>
      <c r="C56" s="11">
        <f>(VLOOKUP(B56,[2]Трансп!A$2:CP$32,32,FALSE)+VLOOKUP(B56,[2]Трансп!A$2:CP$32,55,FALSE)+VLOOKUP(B56,[2]Трансп!A$2:CP$32,75,FALSE)+VLOOKUP(B56,[2]Трансп!A$2:CP$32,87,FALSE))/1000</f>
        <v>2819.1759999999999</v>
      </c>
      <c r="D56" s="11">
        <f>(VLOOKUP(B56,[2]Трансп!A$2:CP$32,30,FALSE)+VLOOKUP(B56,[2]Трансп!A$2:CP$32,53,FALSE)+VLOOKUP(B56,[2]Трансп!A$2:CP$32,73,FALSE)+VLOOKUP(B56,[2]Трансп!A$2:CP$32,85,FALSE))/1000</f>
        <v>1250.2719999999999</v>
      </c>
      <c r="E56" s="13">
        <f t="shared" si="1"/>
        <v>1.2548501446085334</v>
      </c>
    </row>
    <row r="57" spans="1:5" x14ac:dyDescent="0.25">
      <c r="A57">
        <v>56</v>
      </c>
      <c r="B57" t="s">
        <v>60</v>
      </c>
      <c r="C57" s="11">
        <f>(VLOOKUP(B57,[2]Трансп!A$2:CP$32,32,FALSE)+VLOOKUP(B57,[2]Трансп!A$2:CP$32,55,FALSE)+VLOOKUP(B57,[2]Трансп!A$2:CP$32,75,FALSE)+VLOOKUP(B57,[2]Трансп!A$2:CP$32,87,FALSE))/1000</f>
        <v>13603.096</v>
      </c>
      <c r="D57" s="11">
        <f>(VLOOKUP(B57,[2]Трансп!A$2:CP$32,30,FALSE)+VLOOKUP(B57,[2]Трансп!A$2:CP$32,53,FALSE)+VLOOKUP(B57,[2]Трансп!A$2:CP$32,73,FALSE)+VLOOKUP(B57,[2]Трансп!A$2:CP$32,85,FALSE))/1000</f>
        <v>5460.8410000000003</v>
      </c>
      <c r="E57" s="13">
        <f t="shared" si="1"/>
        <v>1.4910258328341732</v>
      </c>
    </row>
    <row r="58" spans="1:5" x14ac:dyDescent="0.25">
      <c r="A58">
        <v>57</v>
      </c>
      <c r="B58" t="s">
        <v>86</v>
      </c>
      <c r="C58" s="11">
        <f>(VLOOKUP(B58,[2]Трансп!A$2:CP$32,32,FALSE)+VLOOKUP(B58,[2]Трансп!A$2:CP$32,55,FALSE)+VLOOKUP(B58,[2]Трансп!A$2:CP$32,75,FALSE)+VLOOKUP(B58,[2]Трансп!A$2:CP$32,87,FALSE))/1000</f>
        <v>5514.9243220000008</v>
      </c>
      <c r="D58" s="11">
        <f>(VLOOKUP(B58,[2]Трансп!A$2:CP$32,30,FALSE)+VLOOKUP(B58,[2]Трансп!A$2:CP$32,53,FALSE)+VLOOKUP(B58,[2]Трансп!A$2:CP$32,73,FALSE)+VLOOKUP(B58,[2]Трансп!A$2:CP$32,85,FALSE))/1000</f>
        <v>2916.5990000000002</v>
      </c>
      <c r="E58" s="13">
        <f t="shared" si="1"/>
        <v>0.89087506441578035</v>
      </c>
    </row>
    <row r="59" spans="1:5" x14ac:dyDescent="0.25">
      <c r="A59">
        <v>58</v>
      </c>
      <c r="B59" t="s">
        <v>61</v>
      </c>
      <c r="C59" s="11">
        <f>(VLOOKUP(B59,[2]Трансп!A$2:CP$32,32,FALSE)+VLOOKUP(B59,[2]Трансп!A$2:CP$32,55,FALSE)+VLOOKUP(B59,[2]Трансп!A$2:CP$32,75,FALSE)+VLOOKUP(B59,[2]Трансп!A$2:CP$32,87,FALSE))/1000</f>
        <v>522.77099999999996</v>
      </c>
      <c r="D59" s="11">
        <f>(VLOOKUP(B59,[2]Трансп!A$2:CP$32,30,FALSE)+VLOOKUP(B59,[2]Трансп!A$2:CP$32,53,FALSE)+VLOOKUP(B59,[2]Трансп!A$2:CP$32,73,FALSE)+VLOOKUP(B59,[2]Трансп!A$2:CP$32,85,FALSE))/1000</f>
        <v>296.15300000000002</v>
      </c>
      <c r="E59" s="13">
        <f t="shared" si="1"/>
        <v>0.76520582266598658</v>
      </c>
    </row>
    <row r="60" spans="1:5" x14ac:dyDescent="0.25">
      <c r="A60">
        <v>59</v>
      </c>
      <c r="B60" t="s">
        <v>62</v>
      </c>
      <c r="C60" s="11">
        <f>(VLOOKUP(B60,[2]Трансп!A$2:CP$32,32,FALSE)+VLOOKUP(B60,[2]Трансп!A$2:CP$32,55,FALSE)+VLOOKUP(B60,[2]Трансп!A$2:CP$32,75,FALSE)+VLOOKUP(B60,[2]Трансп!A$2:CP$32,87,FALSE))/1000</f>
        <v>248.17</v>
      </c>
      <c r="D60" s="11">
        <f>(VLOOKUP(B60,[2]Трансп!A$2:CP$32,30,FALSE)+VLOOKUP(B60,[2]Трансп!A$2:CP$32,53,FALSE)+VLOOKUP(B60,[2]Трансп!A$2:CP$32,73,FALSE)+VLOOKUP(B60,[2]Трансп!A$2:CP$32,85,FALSE))/1000</f>
        <v>155.36000000000001</v>
      </c>
      <c r="E60" s="13">
        <f t="shared" si="1"/>
        <v>0.59738671472708527</v>
      </c>
    </row>
    <row r="61" spans="1:5" x14ac:dyDescent="0.25">
      <c r="A61">
        <v>60</v>
      </c>
      <c r="B61" t="s">
        <v>63</v>
      </c>
      <c r="C61" s="11">
        <f>(VLOOKUP(B61,[2]Трансп!A$2:CP$32,32,FALSE)+VLOOKUP(B61,[2]Трансп!A$2:CP$32,55,FALSE)+VLOOKUP(B61,[2]Трансп!A$2:CP$32,75,FALSE)+VLOOKUP(B61,[2]Трансп!A$2:CP$32,87,FALSE))/1000</f>
        <v>1213.60272444</v>
      </c>
      <c r="D61" s="11">
        <f>(VLOOKUP(B61,[2]Трансп!A$2:CP$32,30,FALSE)+VLOOKUP(B61,[2]Трансп!A$2:CP$32,53,FALSE)+VLOOKUP(B61,[2]Трансп!A$2:CP$32,73,FALSE)+VLOOKUP(B61,[2]Трансп!A$2:CP$32,85,FALSE))/1000</f>
        <v>913.33299999999997</v>
      </c>
      <c r="E61" s="13">
        <f t="shared" si="1"/>
        <v>0.32876259200094604</v>
      </c>
    </row>
    <row r="62" spans="1:5" x14ac:dyDescent="0.25">
      <c r="A62">
        <v>61</v>
      </c>
      <c r="B62" t="s">
        <v>64</v>
      </c>
      <c r="C62" s="11">
        <f>(VLOOKUP(B62,[2]Трансп!A$2:CP$32,32,FALSE)+VLOOKUP(B62,[2]Трансп!A$2:CP$32,55,FALSE)+VLOOKUP(B62,[2]Трансп!A$2:CP$32,75,FALSE)+VLOOKUP(B62,[2]Трансп!A$2:CP$32,87,FALSE))/1000</f>
        <v>1871.26</v>
      </c>
      <c r="D62" s="11">
        <f>(VLOOKUP(B62,[2]Трансп!A$2:CP$32,30,FALSE)+VLOOKUP(B62,[2]Трансп!A$2:CP$32,53,FALSE)+VLOOKUP(B62,[2]Трансп!A$2:CP$32,73,FALSE)+VLOOKUP(B62,[2]Трансп!A$2:CP$32,85,FALSE))/1000</f>
        <v>1692.5440000000001</v>
      </c>
      <c r="E62" s="13">
        <f t="shared" si="1"/>
        <v>0.10559016486425166</v>
      </c>
    </row>
    <row r="63" spans="1:5" x14ac:dyDescent="0.25">
      <c r="A63">
        <v>62</v>
      </c>
      <c r="B63" t="s">
        <v>65</v>
      </c>
      <c r="C63" s="11">
        <f>(VLOOKUP(B63,[2]Трансп!A$2:CP$32,32,FALSE)+VLOOKUP(B63,[2]Трансп!A$2:CP$32,55,FALSE)+VLOOKUP(B63,[2]Трансп!A$2:CP$32,75,FALSE)+VLOOKUP(B63,[2]Трансп!A$2:CP$32,87,FALSE))/1000</f>
        <v>8091.9170000000004</v>
      </c>
      <c r="D63" s="11">
        <f>(VLOOKUP(B63,[2]Трансп!A$2:CP$32,30,FALSE)+VLOOKUP(B63,[2]Трансп!A$2:CP$32,53,FALSE)+VLOOKUP(B63,[2]Трансп!A$2:CP$32,73,FALSE)+VLOOKUP(B63,[2]Трансп!A$2:CP$32,85,FALSE))/1000</f>
        <v>4367.1279999999997</v>
      </c>
      <c r="E63" s="13">
        <f t="shared" si="1"/>
        <v>0.85291500501015793</v>
      </c>
    </row>
    <row r="64" spans="1:5" x14ac:dyDescent="0.25">
      <c r="A64">
        <v>63</v>
      </c>
      <c r="B64" t="s">
        <v>66</v>
      </c>
      <c r="C64" s="11">
        <f>(VLOOKUP(B64,[2]Трансп!A$2:CP$32,32,FALSE)+VLOOKUP(B64,[2]Трансп!A$2:CP$32,55,FALSE)+VLOOKUP(B64,[2]Трансп!A$2:CP$32,75,FALSE)+VLOOKUP(B64,[2]Трансп!A$2:CP$32,87,FALSE))/1000</f>
        <v>1407.3409999999999</v>
      </c>
      <c r="D64" s="11">
        <f>(VLOOKUP(B64,[2]Трансп!A$2:CP$32,30,FALSE)+VLOOKUP(B64,[2]Трансп!A$2:CP$32,53,FALSE)+VLOOKUP(B64,[2]Трансп!A$2:CP$32,73,FALSE)+VLOOKUP(B64,[2]Трансп!A$2:CP$32,85,FALSE))/1000</f>
        <v>834.54399999999998</v>
      </c>
      <c r="E64" s="13">
        <f t="shared" si="1"/>
        <v>0.68635925727103664</v>
      </c>
    </row>
    <row r="65" spans="1:5" x14ac:dyDescent="0.25">
      <c r="A65">
        <v>64</v>
      </c>
      <c r="B65" t="s">
        <v>67</v>
      </c>
      <c r="C65" s="11">
        <f>(VLOOKUP(B65,[2]Трансп!A$2:CP$32,32,FALSE)+VLOOKUP(B65,[2]Трансп!A$2:CP$32,55,FALSE)+VLOOKUP(B65,[2]Трансп!A$2:CP$32,75,FALSE)+VLOOKUP(B65,[2]Трансп!A$2:CP$32,87,FALSE))/1000</f>
        <v>141.886</v>
      </c>
      <c r="D65" s="11">
        <f>(VLOOKUP(B65,[2]Трансп!A$2:CP$32,30,FALSE)+VLOOKUP(B65,[2]Трансп!A$2:CP$32,53,FALSE)+VLOOKUP(B65,[2]Трансп!A$2:CP$32,73,FALSE)+VLOOKUP(B65,[2]Трансп!A$2:CP$32,85,FALSE))/1000</f>
        <v>195.05799999999999</v>
      </c>
      <c r="E65" s="13">
        <f t="shared" si="1"/>
        <v>-0.27259584328763753</v>
      </c>
    </row>
    <row r="66" spans="1:5" x14ac:dyDescent="0.25">
      <c r="A66">
        <v>65</v>
      </c>
      <c r="B66" t="s">
        <v>68</v>
      </c>
      <c r="C66" s="11">
        <f>(VLOOKUP(B66,[2]Трансп!A$2:CP$32,32,FALSE)+VLOOKUP(B66,[2]Трансп!A$2:CP$32,55,FALSE)+VLOOKUP(B66,[2]Трансп!A$2:CP$32,75,FALSE)+VLOOKUP(B66,[2]Трансп!A$2:CP$32,87,FALSE))/1000</f>
        <v>4157.0576999999994</v>
      </c>
      <c r="D66" s="11">
        <f>(VLOOKUP(B66,[2]Трансп!A$2:CP$32,30,FALSE)+VLOOKUP(B66,[2]Трансп!A$2:CP$32,53,FALSE)+VLOOKUP(B66,[2]Трансп!A$2:CP$32,73,FALSE)+VLOOKUP(B66,[2]Трансп!A$2:CP$32,85,FALSE))/1000</f>
        <v>1622.5724190000001</v>
      </c>
      <c r="E66" s="13">
        <f t="shared" si="1"/>
        <v>1.5620167404065799</v>
      </c>
    </row>
    <row r="67" spans="1:5" x14ac:dyDescent="0.25">
      <c r="A67">
        <v>66</v>
      </c>
      <c r="B67" t="s">
        <v>69</v>
      </c>
      <c r="C67" s="11">
        <f>(VLOOKUP(B67,[2]Трансп!A$2:CP$32,32,FALSE)+VLOOKUP(B67,[2]Трансп!A$2:CP$32,55,FALSE)+VLOOKUP(B67,[2]Трансп!A$2:CP$32,75,FALSE)+VLOOKUP(B67,[2]Трансп!A$2:CP$32,87,FALSE))/1000</f>
        <v>3239.0859999999998</v>
      </c>
      <c r="D67" s="11">
        <f>(VLOOKUP(B67,[2]Трансп!A$2:CP$32,30,FALSE)+VLOOKUP(B67,[2]Трансп!A$2:CP$32,53,FALSE)+VLOOKUP(B67,[2]Трансп!A$2:CP$32,73,FALSE)+VLOOKUP(B67,[2]Трансп!A$2:CP$32,85,FALSE))/1000</f>
        <v>1434.181</v>
      </c>
      <c r="E67" s="13">
        <f t="shared" ref="E67" si="2">C67/D67-1</f>
        <v>1.2584917803261928</v>
      </c>
    </row>
    <row r="68" spans="1:5" x14ac:dyDescent="0.25">
      <c r="B68" t="s">
        <v>99</v>
      </c>
      <c r="C68" s="11">
        <f>VLOOKUP(B68,[1]Трансп!$A$3:$U$39,20,FALSE)/1000</f>
        <v>89.487049999999996</v>
      </c>
      <c r="D68" s="11">
        <v>0</v>
      </c>
      <c r="E68" s="36" t="s">
        <v>100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2841-FDBD-4458-B0D7-49BFF5920BF1}">
  <sheetPr codeName="Лист5"/>
  <dimension ref="A1:X67"/>
  <sheetViews>
    <sheetView topLeftCell="A40" workbookViewId="0">
      <selection activeCell="A2" sqref="A2:E67"/>
    </sheetView>
  </sheetViews>
  <sheetFormatPr defaultRowHeight="15" x14ac:dyDescent="0.25"/>
  <cols>
    <col min="2" max="2" width="95.7109375" customWidth="1"/>
    <col min="5" max="5" width="9.140625" style="41"/>
    <col min="6" max="6" width="15.7109375" style="63" customWidth="1"/>
  </cols>
  <sheetData>
    <row r="1" spans="1:24" x14ac:dyDescent="0.25">
      <c r="A1" t="s">
        <v>75</v>
      </c>
    </row>
    <row r="2" spans="1:24" s="6" customFormat="1" ht="67.5" x14ac:dyDescent="0.25">
      <c r="A2" s="1" t="s">
        <v>73</v>
      </c>
      <c r="B2" s="2" t="s">
        <v>0</v>
      </c>
      <c r="C2" s="1" t="s">
        <v>74</v>
      </c>
      <c r="D2" s="1" t="s">
        <v>71</v>
      </c>
      <c r="E2" s="62" t="s">
        <v>72</v>
      </c>
      <c r="F2" s="65"/>
      <c r="G2" s="5"/>
      <c r="H2" s="5"/>
      <c r="I2" s="5"/>
      <c r="J2" s="5"/>
      <c r="L2" s="7"/>
      <c r="M2" s="8"/>
      <c r="N2" s="8"/>
      <c r="O2" s="8"/>
      <c r="P2"/>
      <c r="Q2"/>
      <c r="R2"/>
      <c r="S2" s="5"/>
      <c r="T2" s="5"/>
      <c r="U2" s="5"/>
      <c r="V2" s="9"/>
      <c r="W2" s="5"/>
      <c r="X2" s="5"/>
    </row>
    <row r="3" spans="1:24" x14ac:dyDescent="0.25">
      <c r="A3" s="29">
        <v>1</v>
      </c>
      <c r="B3" s="69" t="s">
        <v>54</v>
      </c>
      <c r="C3" s="70">
        <v>16615.432000000001</v>
      </c>
      <c r="D3" s="70">
        <v>7078.7520000000004</v>
      </c>
      <c r="E3" s="71">
        <f>(C3/D3-1)*100</f>
        <v>134.72261777217227</v>
      </c>
      <c r="F3" s="63">
        <v>4205271785</v>
      </c>
    </row>
    <row r="4" spans="1:24" x14ac:dyDescent="0.25">
      <c r="A4" s="29">
        <v>2</v>
      </c>
      <c r="B4" s="69" t="s">
        <v>60</v>
      </c>
      <c r="C4" s="70">
        <v>13603.096</v>
      </c>
      <c r="D4" s="70">
        <v>5460.8410000000003</v>
      </c>
      <c r="E4" s="71">
        <f t="shared" ref="E4:E66" si="0">(C4/D4-1)*100</f>
        <v>149.10258328341732</v>
      </c>
      <c r="F4" s="63">
        <v>7704784072</v>
      </c>
    </row>
    <row r="5" spans="1:24" x14ac:dyDescent="0.25">
      <c r="A5" s="29">
        <v>3</v>
      </c>
      <c r="B5" s="69" t="s">
        <v>65</v>
      </c>
      <c r="C5" s="70">
        <v>8091.9170000000004</v>
      </c>
      <c r="D5" s="70">
        <v>4367.1279999999997</v>
      </c>
      <c r="E5" s="71">
        <f t="shared" si="0"/>
        <v>85.29150050101579</v>
      </c>
      <c r="F5" s="63" t="s">
        <v>146</v>
      </c>
    </row>
    <row r="6" spans="1:24" x14ac:dyDescent="0.25">
      <c r="A6" s="29">
        <v>4</v>
      </c>
      <c r="B6" s="69" t="s">
        <v>45</v>
      </c>
      <c r="C6" s="70">
        <v>7272.7209999999995</v>
      </c>
      <c r="D6" s="70">
        <v>2376.32141</v>
      </c>
      <c r="E6" s="71">
        <f t="shared" si="0"/>
        <v>206.04955076342134</v>
      </c>
      <c r="F6" s="63">
        <v>5407973316</v>
      </c>
    </row>
    <row r="7" spans="1:24" x14ac:dyDescent="0.25">
      <c r="A7" s="29">
        <v>5</v>
      </c>
      <c r="B7" s="69" t="s">
        <v>86</v>
      </c>
      <c r="C7" s="70">
        <v>5514.9243220000008</v>
      </c>
      <c r="D7" s="70">
        <v>2916.5990000000002</v>
      </c>
      <c r="E7" s="71">
        <f t="shared" si="0"/>
        <v>89.087506441578029</v>
      </c>
      <c r="F7" s="63" t="s">
        <v>145</v>
      </c>
    </row>
    <row r="8" spans="1:24" x14ac:dyDescent="0.25">
      <c r="A8" s="29">
        <v>6</v>
      </c>
      <c r="B8" s="69" t="s">
        <v>42</v>
      </c>
      <c r="C8" s="70">
        <v>5227.7790000000005</v>
      </c>
      <c r="D8" s="70">
        <v>4378.2190000000001</v>
      </c>
      <c r="E8" s="71">
        <f t="shared" si="0"/>
        <v>19.404237202387552</v>
      </c>
      <c r="F8" s="63" t="s">
        <v>148</v>
      </c>
    </row>
    <row r="9" spans="1:24" x14ac:dyDescent="0.25">
      <c r="A9" s="29">
        <v>7</v>
      </c>
      <c r="B9" s="69" t="s">
        <v>49</v>
      </c>
      <c r="C9" s="70">
        <v>4971.6019999999999</v>
      </c>
      <c r="D9" s="70">
        <v>3770.3870000000002</v>
      </c>
      <c r="E9" s="71">
        <f t="shared" si="0"/>
        <v>31.859196416707334</v>
      </c>
      <c r="F9" s="63" t="s">
        <v>150</v>
      </c>
    </row>
    <row r="10" spans="1:24" x14ac:dyDescent="0.25">
      <c r="A10" s="29">
        <v>8</v>
      </c>
      <c r="B10" s="69" t="s">
        <v>48</v>
      </c>
      <c r="C10" s="70">
        <v>4562.7085999999999</v>
      </c>
      <c r="D10" s="70">
        <v>3116.5520000000001</v>
      </c>
      <c r="E10" s="71">
        <f t="shared" si="0"/>
        <v>46.402453737335357</v>
      </c>
      <c r="F10" s="63">
        <v>7733812126</v>
      </c>
    </row>
    <row r="11" spans="1:24" x14ac:dyDescent="0.25">
      <c r="A11" s="29">
        <v>9</v>
      </c>
      <c r="B11" s="69" t="s">
        <v>68</v>
      </c>
      <c r="C11" s="70">
        <v>4157.0576999999994</v>
      </c>
      <c r="D11" s="70">
        <v>1622.5724190000001</v>
      </c>
      <c r="E11" s="71">
        <f t="shared" si="0"/>
        <v>156.20167404065799</v>
      </c>
      <c r="F11" s="63" t="s">
        <v>168</v>
      </c>
    </row>
    <row r="12" spans="1:24" x14ac:dyDescent="0.25">
      <c r="A12" s="29">
        <v>10</v>
      </c>
      <c r="B12" s="69" t="s">
        <v>53</v>
      </c>
      <c r="C12" s="70">
        <v>3796.5559120699995</v>
      </c>
      <c r="D12" s="70">
        <v>2204.33797529</v>
      </c>
      <c r="E12" s="71">
        <f t="shared" si="0"/>
        <v>72.231116762869775</v>
      </c>
      <c r="F12" s="63" t="s">
        <v>149</v>
      </c>
    </row>
    <row r="13" spans="1:24" x14ac:dyDescent="0.25">
      <c r="A13" s="29">
        <v>11</v>
      </c>
      <c r="B13" s="69" t="s">
        <v>69</v>
      </c>
      <c r="C13" s="70">
        <v>3239.0859999999998</v>
      </c>
      <c r="D13" s="70">
        <v>1434.181</v>
      </c>
      <c r="E13" s="71">
        <f t="shared" si="0"/>
        <v>125.84917803261928</v>
      </c>
      <c r="F13" s="63">
        <v>7716748537</v>
      </c>
    </row>
    <row r="14" spans="1:24" x14ac:dyDescent="0.25">
      <c r="A14" s="29">
        <v>12</v>
      </c>
      <c r="B14" s="69" t="s">
        <v>59</v>
      </c>
      <c r="C14" s="70">
        <v>2819.1759999999999</v>
      </c>
      <c r="D14" s="70">
        <v>1250.2719999999999</v>
      </c>
      <c r="E14" s="71">
        <f t="shared" si="0"/>
        <v>125.48501446085334</v>
      </c>
      <c r="F14" s="63">
        <v>7724889891</v>
      </c>
    </row>
    <row r="15" spans="1:24" x14ac:dyDescent="0.25">
      <c r="A15" s="29">
        <v>13</v>
      </c>
      <c r="B15" s="69" t="s">
        <v>46</v>
      </c>
      <c r="C15" s="70">
        <v>1958.7080000000001</v>
      </c>
      <c r="D15" s="70">
        <v>2316.8389999999999</v>
      </c>
      <c r="E15" s="71">
        <f t="shared" si="0"/>
        <v>-15.457742208241488</v>
      </c>
      <c r="F15" s="63">
        <v>5410059568</v>
      </c>
    </row>
    <row r="16" spans="1:24" x14ac:dyDescent="0.25">
      <c r="A16" s="29">
        <v>14</v>
      </c>
      <c r="B16" s="69" t="s">
        <v>64</v>
      </c>
      <c r="C16" s="70">
        <v>1871.26</v>
      </c>
      <c r="D16" s="70">
        <v>1692.5440000000001</v>
      </c>
      <c r="E16" s="71">
        <f t="shared" si="0"/>
        <v>10.559016486425165</v>
      </c>
      <c r="F16" s="63">
        <v>5260271530</v>
      </c>
    </row>
    <row r="17" spans="1:6" x14ac:dyDescent="0.25">
      <c r="A17" s="29">
        <v>15</v>
      </c>
      <c r="B17" s="69" t="s">
        <v>56</v>
      </c>
      <c r="C17" s="70">
        <v>1679.85960991</v>
      </c>
      <c r="D17" s="70">
        <v>1335.5808319999999</v>
      </c>
      <c r="E17" s="71">
        <f t="shared" si="0"/>
        <v>25.777457242662805</v>
      </c>
      <c r="F17" s="63">
        <v>7730634468</v>
      </c>
    </row>
    <row r="18" spans="1:6" x14ac:dyDescent="0.25">
      <c r="A18" s="29">
        <v>16</v>
      </c>
      <c r="B18" s="69" t="s">
        <v>66</v>
      </c>
      <c r="C18" s="70">
        <v>1407.3409999999999</v>
      </c>
      <c r="D18" s="70">
        <v>834.54399999999998</v>
      </c>
      <c r="E18" s="71">
        <f t="shared" si="0"/>
        <v>68.635925727103668</v>
      </c>
      <c r="F18" s="63">
        <v>4205219217</v>
      </c>
    </row>
    <row r="19" spans="1:6" x14ac:dyDescent="0.25">
      <c r="A19" s="29">
        <v>17</v>
      </c>
      <c r="B19" s="69" t="s">
        <v>55</v>
      </c>
      <c r="C19" s="70">
        <v>1286.847</v>
      </c>
      <c r="D19" s="70">
        <v>551.96699999999998</v>
      </c>
      <c r="E19" s="71">
        <f t="shared" si="0"/>
        <v>133.13839414312812</v>
      </c>
      <c r="F19" s="63">
        <v>5260355389</v>
      </c>
    </row>
    <row r="20" spans="1:6" x14ac:dyDescent="0.25">
      <c r="A20" s="29">
        <v>18</v>
      </c>
      <c r="B20" s="69" t="s">
        <v>51</v>
      </c>
      <c r="C20" s="70">
        <v>1245.74</v>
      </c>
      <c r="D20" s="70">
        <v>521.072</v>
      </c>
      <c r="E20" s="71">
        <f t="shared" si="0"/>
        <v>139.07252740504191</v>
      </c>
      <c r="F20" s="63">
        <v>7704493556</v>
      </c>
    </row>
    <row r="21" spans="1:6" x14ac:dyDescent="0.25">
      <c r="A21" s="29">
        <v>19</v>
      </c>
      <c r="B21" s="69" t="s">
        <v>63</v>
      </c>
      <c r="C21" s="70">
        <v>1213.60272444</v>
      </c>
      <c r="D21" s="70">
        <v>913.33299999999997</v>
      </c>
      <c r="E21" s="71">
        <f t="shared" si="0"/>
        <v>32.876259200094601</v>
      </c>
      <c r="F21" s="63" t="s">
        <v>151</v>
      </c>
    </row>
    <row r="22" spans="1:6" x14ac:dyDescent="0.25">
      <c r="A22" s="29">
        <v>20</v>
      </c>
      <c r="B22" s="69" t="s">
        <v>57</v>
      </c>
      <c r="C22" s="70">
        <v>884.83955200000003</v>
      </c>
      <c r="D22" s="70">
        <v>252.53299999999999</v>
      </c>
      <c r="E22" s="71">
        <f t="shared" si="0"/>
        <v>250.3857127583326</v>
      </c>
      <c r="F22" s="63">
        <v>1659182700</v>
      </c>
    </row>
    <row r="23" spans="1:6" x14ac:dyDescent="0.25">
      <c r="A23" s="29">
        <v>21</v>
      </c>
      <c r="B23" s="69" t="s">
        <v>17</v>
      </c>
      <c r="C23" s="70">
        <v>790.81500000000005</v>
      </c>
      <c r="D23" s="70">
        <v>782.12400000000002</v>
      </c>
      <c r="E23" s="71">
        <f t="shared" si="0"/>
        <v>1.111204872884608</v>
      </c>
      <c r="F23" s="63">
        <v>2310981029</v>
      </c>
    </row>
    <row r="24" spans="1:6" x14ac:dyDescent="0.25">
      <c r="A24" s="29">
        <v>22</v>
      </c>
      <c r="B24" s="69" t="s">
        <v>18</v>
      </c>
      <c r="C24" s="70">
        <v>730.22840000000008</v>
      </c>
      <c r="D24" s="70">
        <v>489.79040000000003</v>
      </c>
      <c r="E24" s="71">
        <f t="shared" si="0"/>
        <v>49.089978080419705</v>
      </c>
      <c r="F24" s="63">
        <v>9102023109</v>
      </c>
    </row>
    <row r="25" spans="1:6" x14ac:dyDescent="0.25">
      <c r="A25" s="29">
        <v>23</v>
      </c>
      <c r="B25" s="69" t="s">
        <v>38</v>
      </c>
      <c r="C25" s="70">
        <v>650.14499999999998</v>
      </c>
      <c r="D25" s="70">
        <v>290.56799999999998</v>
      </c>
      <c r="E25" s="71">
        <f t="shared" si="0"/>
        <v>123.74969026183203</v>
      </c>
      <c r="F25" s="63">
        <v>2130058291</v>
      </c>
    </row>
    <row r="26" spans="1:6" x14ac:dyDescent="0.25">
      <c r="A26" s="29">
        <v>24</v>
      </c>
      <c r="B26" s="69" t="s">
        <v>30</v>
      </c>
      <c r="C26" s="70">
        <v>546.13576</v>
      </c>
      <c r="D26" s="70">
        <v>623.96500000000003</v>
      </c>
      <c r="E26" s="71">
        <f t="shared" si="0"/>
        <v>-12.473334241503931</v>
      </c>
      <c r="F26" s="63">
        <v>6671118019</v>
      </c>
    </row>
    <row r="27" spans="1:6" x14ac:dyDescent="0.25">
      <c r="A27" s="29">
        <v>25</v>
      </c>
      <c r="B27" s="69" t="s">
        <v>61</v>
      </c>
      <c r="C27" s="70">
        <v>522.77099999999996</v>
      </c>
      <c r="D27" s="70">
        <v>296.15300000000002</v>
      </c>
      <c r="E27" s="71">
        <f t="shared" si="0"/>
        <v>76.520582266598652</v>
      </c>
      <c r="F27" s="63">
        <v>7705974076</v>
      </c>
    </row>
    <row r="28" spans="1:6" x14ac:dyDescent="0.25">
      <c r="A28" s="29">
        <v>26</v>
      </c>
      <c r="B28" s="69" t="s">
        <v>5</v>
      </c>
      <c r="C28" s="70">
        <v>509.12965000000003</v>
      </c>
      <c r="D28" s="70">
        <v>417.19499999999999</v>
      </c>
      <c r="E28" s="71">
        <f t="shared" si="0"/>
        <v>22.036373877922809</v>
      </c>
      <c r="F28" s="63">
        <v>2221171632</v>
      </c>
    </row>
    <row r="29" spans="1:6" x14ac:dyDescent="0.25">
      <c r="A29" s="29">
        <v>27</v>
      </c>
      <c r="B29" s="69" t="s">
        <v>35</v>
      </c>
      <c r="C29" s="70">
        <v>501.48</v>
      </c>
      <c r="D29" s="70">
        <v>380.53065999999995</v>
      </c>
      <c r="E29" s="71">
        <f t="shared" si="0"/>
        <v>31.784387623325827</v>
      </c>
      <c r="F29" s="63">
        <v>1831045838</v>
      </c>
    </row>
    <row r="30" spans="1:6" x14ac:dyDescent="0.25">
      <c r="A30" s="29">
        <v>28</v>
      </c>
      <c r="B30" s="69" t="s">
        <v>58</v>
      </c>
      <c r="C30" s="70">
        <v>486.03899999999999</v>
      </c>
      <c r="D30" s="70">
        <v>510.41199999999998</v>
      </c>
      <c r="E30" s="71">
        <f t="shared" si="0"/>
        <v>-4.7751620259711691</v>
      </c>
      <c r="F30" s="63">
        <v>5501246928</v>
      </c>
    </row>
    <row r="31" spans="1:6" x14ac:dyDescent="0.25">
      <c r="A31" s="29">
        <v>29</v>
      </c>
      <c r="B31" s="69" t="s">
        <v>27</v>
      </c>
      <c r="C31" s="70">
        <v>484.13671999999997</v>
      </c>
      <c r="D31" s="70">
        <v>437.79642000000001</v>
      </c>
      <c r="E31" s="71">
        <f t="shared" si="0"/>
        <v>10.584896971062484</v>
      </c>
      <c r="F31" s="63">
        <v>6164072742</v>
      </c>
    </row>
    <row r="32" spans="1:6" x14ac:dyDescent="0.25">
      <c r="A32" s="29">
        <v>30</v>
      </c>
      <c r="B32" s="69" t="s">
        <v>52</v>
      </c>
      <c r="C32" s="70">
        <v>463.71300000000002</v>
      </c>
      <c r="D32" s="70">
        <v>429.82400000000001</v>
      </c>
      <c r="E32" s="71">
        <f t="shared" si="0"/>
        <v>7.8843898898153686</v>
      </c>
      <c r="F32" s="63">
        <v>3123449916</v>
      </c>
    </row>
    <row r="33" spans="1:6" x14ac:dyDescent="0.25">
      <c r="A33" s="29">
        <v>31</v>
      </c>
      <c r="B33" s="69" t="s">
        <v>24</v>
      </c>
      <c r="C33" s="70">
        <f>VLOOKUP(Т2!B22,[1]Трансп!$A$3:$U$38,20,FALSE)/1000</f>
        <v>444.70600000000002</v>
      </c>
      <c r="D33" s="70">
        <f>VLOOKUP(Т2!B22,[1]Трансп!$A$3:$U$38,18,FALSE)/1000</f>
        <v>506.04</v>
      </c>
      <c r="E33" s="71">
        <f t="shared" si="0"/>
        <v>-12.120385740257689</v>
      </c>
      <c r="F33" s="63">
        <v>5406570716</v>
      </c>
    </row>
    <row r="34" spans="1:6" x14ac:dyDescent="0.25">
      <c r="A34" s="29">
        <v>32</v>
      </c>
      <c r="B34" s="69" t="s">
        <v>34</v>
      </c>
      <c r="C34" s="70">
        <v>388.70318599999996</v>
      </c>
      <c r="D34" s="70">
        <v>437.04500000000002</v>
      </c>
      <c r="E34" s="71">
        <f t="shared" si="0"/>
        <v>-11.061060989143012</v>
      </c>
      <c r="F34" s="63">
        <v>1655259599</v>
      </c>
    </row>
    <row r="35" spans="1:6" x14ac:dyDescent="0.25">
      <c r="A35" s="29">
        <v>33</v>
      </c>
      <c r="B35" s="69" t="s">
        <v>23</v>
      </c>
      <c r="C35" s="70">
        <v>361.62599999999998</v>
      </c>
      <c r="D35" s="70">
        <v>430.34699999999998</v>
      </c>
      <c r="E35" s="71">
        <f t="shared" si="0"/>
        <v>-15.968741503949136</v>
      </c>
      <c r="F35" s="63">
        <v>5321059541</v>
      </c>
    </row>
    <row r="36" spans="1:6" x14ac:dyDescent="0.25">
      <c r="A36" s="29">
        <v>34</v>
      </c>
      <c r="B36" s="69" t="s">
        <v>16</v>
      </c>
      <c r="C36" s="70">
        <v>358.178</v>
      </c>
      <c r="D36" s="70">
        <v>323.38499999999999</v>
      </c>
      <c r="E36" s="71">
        <f t="shared" si="0"/>
        <v>10.759002427447161</v>
      </c>
      <c r="F36" s="63">
        <v>4345045088</v>
      </c>
    </row>
    <row r="37" spans="1:6" x14ac:dyDescent="0.25">
      <c r="A37" s="29">
        <v>35</v>
      </c>
      <c r="B37" s="69" t="s">
        <v>32</v>
      </c>
      <c r="C37" s="70">
        <v>350.75957</v>
      </c>
      <c r="D37" s="70">
        <v>378.19499999999999</v>
      </c>
      <c r="E37" s="71">
        <f t="shared" si="0"/>
        <v>-7.2543079628234146</v>
      </c>
      <c r="F37" s="63">
        <v>2634091033</v>
      </c>
    </row>
    <row r="38" spans="1:6" x14ac:dyDescent="0.25">
      <c r="A38" s="29">
        <v>36</v>
      </c>
      <c r="B38" s="69" t="s">
        <v>39</v>
      </c>
      <c r="C38" s="70">
        <v>328.303</v>
      </c>
      <c r="D38" s="70">
        <v>294.02100000000002</v>
      </c>
      <c r="E38" s="71">
        <f t="shared" si="0"/>
        <v>11.659711381159843</v>
      </c>
      <c r="F38" s="63">
        <v>8601042850</v>
      </c>
    </row>
    <row r="39" spans="1:6" x14ac:dyDescent="0.25">
      <c r="A39" s="29">
        <v>37</v>
      </c>
      <c r="B39" s="69" t="s">
        <v>13</v>
      </c>
      <c r="C39" s="70">
        <v>276.14499999999998</v>
      </c>
      <c r="D39" s="70">
        <v>206.15</v>
      </c>
      <c r="E39" s="71">
        <f t="shared" si="0"/>
        <v>33.953431967014303</v>
      </c>
      <c r="F39" s="63">
        <v>3801990027</v>
      </c>
    </row>
    <row r="40" spans="1:6" x14ac:dyDescent="0.25">
      <c r="A40" s="29">
        <v>38</v>
      </c>
      <c r="B40" s="69" t="s">
        <v>10</v>
      </c>
      <c r="C40" s="70">
        <v>268.56799999999998</v>
      </c>
      <c r="D40" s="70">
        <v>208.054</v>
      </c>
      <c r="E40" s="71">
        <f t="shared" si="0"/>
        <v>29.085718130869864</v>
      </c>
      <c r="F40" s="63">
        <v>3525251257</v>
      </c>
    </row>
    <row r="41" spans="1:6" x14ac:dyDescent="0.25">
      <c r="A41" s="29">
        <v>39</v>
      </c>
      <c r="B41" s="69" t="s">
        <v>62</v>
      </c>
      <c r="C41" s="70">
        <v>248.17</v>
      </c>
      <c r="D41" s="70">
        <v>155.36000000000001</v>
      </c>
      <c r="E41" s="71">
        <f t="shared" si="0"/>
        <v>59.738671472708525</v>
      </c>
      <c r="F41" s="63">
        <v>7838492459</v>
      </c>
    </row>
    <row r="42" spans="1:6" x14ac:dyDescent="0.25">
      <c r="A42" s="29">
        <v>40</v>
      </c>
      <c r="B42" s="69" t="s">
        <v>14</v>
      </c>
      <c r="C42" s="70">
        <v>242.72200000000001</v>
      </c>
      <c r="D42" s="70">
        <v>240.03700000000001</v>
      </c>
      <c r="E42" s="71">
        <f t="shared" si="0"/>
        <v>1.1185775526272979</v>
      </c>
      <c r="F42" s="63">
        <v>4101091354</v>
      </c>
    </row>
    <row r="43" spans="1:6" x14ac:dyDescent="0.25">
      <c r="A43" s="29">
        <v>41</v>
      </c>
      <c r="B43" s="69" t="s">
        <v>44</v>
      </c>
      <c r="C43" s="70">
        <v>240.15</v>
      </c>
      <c r="D43" s="70">
        <v>109.4</v>
      </c>
      <c r="E43" s="71">
        <f t="shared" si="0"/>
        <v>119.51553930530166</v>
      </c>
      <c r="F43" s="63">
        <v>7704472891</v>
      </c>
    </row>
    <row r="44" spans="1:6" x14ac:dyDescent="0.25">
      <c r="A44" s="29">
        <v>42</v>
      </c>
      <c r="B44" s="69" t="s">
        <v>25</v>
      </c>
      <c r="C44" s="70">
        <v>230.98</v>
      </c>
      <c r="D44" s="70">
        <v>226.30699999999999</v>
      </c>
      <c r="E44" s="71">
        <f t="shared" si="0"/>
        <v>2.0648941482146022</v>
      </c>
      <c r="F44" s="63">
        <v>5753990187</v>
      </c>
    </row>
    <row r="45" spans="1:6" x14ac:dyDescent="0.25">
      <c r="A45" s="29">
        <v>43</v>
      </c>
      <c r="B45" s="69" t="s">
        <v>21</v>
      </c>
      <c r="C45" s="70">
        <v>230.785</v>
      </c>
      <c r="D45" s="70">
        <v>201.50899999999999</v>
      </c>
      <c r="E45" s="71">
        <f t="shared" si="0"/>
        <v>14.528383347642038</v>
      </c>
      <c r="F45" s="63">
        <v>4824047100</v>
      </c>
    </row>
    <row r="46" spans="1:6" x14ac:dyDescent="0.25">
      <c r="A46" s="29">
        <v>44</v>
      </c>
      <c r="B46" s="69" t="s">
        <v>9</v>
      </c>
      <c r="C46" s="70">
        <v>223.85599999999999</v>
      </c>
      <c r="D46" s="70">
        <v>127.176</v>
      </c>
      <c r="E46" s="71">
        <f t="shared" si="0"/>
        <v>76.020632823803226</v>
      </c>
      <c r="F46" s="63">
        <v>275066729</v>
      </c>
    </row>
    <row r="47" spans="1:6" x14ac:dyDescent="0.25">
      <c r="A47" s="29">
        <v>45</v>
      </c>
      <c r="B47" s="69" t="s">
        <v>37</v>
      </c>
      <c r="C47" s="70">
        <v>222.494</v>
      </c>
      <c r="D47" s="70">
        <v>151.55799999999999</v>
      </c>
      <c r="E47" s="71">
        <f t="shared" si="0"/>
        <v>46.804523680703113</v>
      </c>
      <c r="F47" s="63">
        <v>2721052016</v>
      </c>
    </row>
    <row r="48" spans="1:6" x14ac:dyDescent="0.25">
      <c r="A48" s="29">
        <v>46</v>
      </c>
      <c r="B48" s="69" t="s">
        <v>15</v>
      </c>
      <c r="C48" s="70">
        <v>216.18396999999999</v>
      </c>
      <c r="D48" s="70">
        <v>216.62700000000001</v>
      </c>
      <c r="E48" s="71">
        <f t="shared" si="0"/>
        <v>-0.20451282619434741</v>
      </c>
      <c r="F48" s="63">
        <v>4207043015</v>
      </c>
    </row>
    <row r="49" spans="1:6" x14ac:dyDescent="0.25">
      <c r="A49" s="29">
        <v>47</v>
      </c>
      <c r="B49" s="69" t="s">
        <v>41</v>
      </c>
      <c r="C49" s="70">
        <v>215.945866</v>
      </c>
      <c r="D49" s="70">
        <v>118.44</v>
      </c>
      <c r="E49" s="71">
        <f t="shared" si="0"/>
        <v>82.32511482607228</v>
      </c>
      <c r="F49" s="63">
        <v>7604192192</v>
      </c>
    </row>
    <row r="50" spans="1:6" x14ac:dyDescent="0.25">
      <c r="A50" s="29">
        <v>48</v>
      </c>
      <c r="B50" s="69" t="s">
        <v>28</v>
      </c>
      <c r="C50" s="70">
        <v>214.49299999999999</v>
      </c>
      <c r="D50" s="70">
        <v>95.495000000000005</v>
      </c>
      <c r="E50" s="71">
        <f t="shared" si="0"/>
        <v>124.61175977799886</v>
      </c>
      <c r="F50" s="63">
        <v>6450939546</v>
      </c>
    </row>
    <row r="51" spans="1:6" x14ac:dyDescent="0.25">
      <c r="A51" s="29">
        <v>49</v>
      </c>
      <c r="B51" s="69" t="s">
        <v>7</v>
      </c>
      <c r="C51" s="70">
        <v>178.16</v>
      </c>
      <c r="D51" s="70">
        <v>104.26528900000001</v>
      </c>
      <c r="E51" s="71">
        <f t="shared" si="0"/>
        <v>70.871822932366285</v>
      </c>
      <c r="F51" s="63">
        <v>2901204067</v>
      </c>
    </row>
    <row r="52" spans="1:6" x14ac:dyDescent="0.25">
      <c r="A52" s="29">
        <v>50</v>
      </c>
      <c r="B52" s="69" t="s">
        <v>22</v>
      </c>
      <c r="C52" s="70">
        <v>172.09200000000001</v>
      </c>
      <c r="D52" s="70">
        <v>164.35300000000001</v>
      </c>
      <c r="E52" s="71">
        <f t="shared" si="0"/>
        <v>4.7087671049509394</v>
      </c>
      <c r="F52" s="63" t="s">
        <v>152</v>
      </c>
    </row>
    <row r="53" spans="1:6" x14ac:dyDescent="0.25">
      <c r="A53" s="29">
        <v>51</v>
      </c>
      <c r="B53" s="69" t="s">
        <v>26</v>
      </c>
      <c r="C53" s="70">
        <v>167.822</v>
      </c>
      <c r="D53" s="70">
        <v>233.637</v>
      </c>
      <c r="E53" s="71">
        <f t="shared" si="0"/>
        <v>-28.169767630983099</v>
      </c>
      <c r="F53" s="63">
        <v>5835073174</v>
      </c>
    </row>
    <row r="54" spans="1:6" x14ac:dyDescent="0.25">
      <c r="A54" s="29">
        <v>52</v>
      </c>
      <c r="B54" s="69" t="s">
        <v>47</v>
      </c>
      <c r="C54" s="70">
        <v>160.88800000000001</v>
      </c>
      <c r="D54" s="70">
        <v>536.95000000000005</v>
      </c>
      <c r="E54" s="71">
        <f t="shared" si="0"/>
        <v>-70.036688704721101</v>
      </c>
      <c r="F54" s="63">
        <v>5407487242</v>
      </c>
    </row>
    <row r="55" spans="1:6" x14ac:dyDescent="0.25">
      <c r="A55" s="29">
        <v>53</v>
      </c>
      <c r="B55" s="69" t="s">
        <v>20</v>
      </c>
      <c r="C55" s="70">
        <v>160.28200000000001</v>
      </c>
      <c r="D55" s="70">
        <v>76.936999999999998</v>
      </c>
      <c r="E55" s="71">
        <f t="shared" si="0"/>
        <v>108.32889247046285</v>
      </c>
      <c r="F55" s="63">
        <v>4632066518</v>
      </c>
    </row>
    <row r="56" spans="1:6" x14ac:dyDescent="0.25">
      <c r="A56" s="29">
        <v>54</v>
      </c>
      <c r="B56" s="69" t="s">
        <v>8</v>
      </c>
      <c r="C56" s="70">
        <v>160.10400000000001</v>
      </c>
      <c r="D56" s="70">
        <v>116.414</v>
      </c>
      <c r="E56" s="71">
        <f t="shared" si="0"/>
        <v>37.529850361640356</v>
      </c>
      <c r="F56" s="63">
        <v>3015028318</v>
      </c>
    </row>
    <row r="57" spans="1:6" x14ac:dyDescent="0.25">
      <c r="A57" s="29">
        <v>55</v>
      </c>
      <c r="B57" s="69" t="s">
        <v>67</v>
      </c>
      <c r="C57" s="70">
        <v>141.886</v>
      </c>
      <c r="D57" s="70">
        <v>195.05799999999999</v>
      </c>
      <c r="E57" s="71">
        <f t="shared" si="0"/>
        <v>-27.259584328763754</v>
      </c>
      <c r="F57" s="63">
        <v>1831178411</v>
      </c>
    </row>
    <row r="58" spans="1:6" x14ac:dyDescent="0.25">
      <c r="A58" s="29">
        <v>56</v>
      </c>
      <c r="B58" s="69" t="s">
        <v>29</v>
      </c>
      <c r="C58" s="70">
        <v>124.093</v>
      </c>
      <c r="D58" s="70">
        <v>145.732</v>
      </c>
      <c r="E58" s="71">
        <f t="shared" si="0"/>
        <v>-14.848489007218724</v>
      </c>
      <c r="F58" s="63">
        <v>1435296482</v>
      </c>
    </row>
    <row r="59" spans="1:6" x14ac:dyDescent="0.25">
      <c r="A59" s="29">
        <v>57</v>
      </c>
      <c r="B59" s="69" t="s">
        <v>6</v>
      </c>
      <c r="C59" s="70">
        <v>90.51</v>
      </c>
      <c r="D59" s="70">
        <v>109.628</v>
      </c>
      <c r="E59" s="71">
        <f t="shared" si="0"/>
        <v>-17.438975444229577</v>
      </c>
      <c r="F59" s="63">
        <v>2801249882</v>
      </c>
    </row>
    <row r="60" spans="1:6" x14ac:dyDescent="0.25">
      <c r="A60" s="29">
        <v>58</v>
      </c>
      <c r="B60" s="69" t="s">
        <v>99</v>
      </c>
      <c r="C60" s="70">
        <f>VLOOKUP(B60,[1]Трансп!$A$3:$U$39,20,FALSE)/1000</f>
        <v>89.487049999999996</v>
      </c>
      <c r="D60" s="70">
        <v>0</v>
      </c>
      <c r="E60" s="71" t="s">
        <v>100</v>
      </c>
      <c r="F60" s="63" t="s">
        <v>154</v>
      </c>
    </row>
    <row r="61" spans="1:6" x14ac:dyDescent="0.25">
      <c r="A61" s="29">
        <v>59</v>
      </c>
      <c r="B61" s="69" t="s">
        <v>50</v>
      </c>
      <c r="C61" s="70">
        <v>85.15</v>
      </c>
      <c r="D61" s="70">
        <v>79.653000000000006</v>
      </c>
      <c r="E61" s="71">
        <f t="shared" si="0"/>
        <v>6.9011838851016361</v>
      </c>
      <c r="F61" s="63">
        <v>2465260220</v>
      </c>
    </row>
    <row r="62" spans="1:6" x14ac:dyDescent="0.25">
      <c r="A62" s="29">
        <v>60</v>
      </c>
      <c r="B62" s="69" t="s">
        <v>19</v>
      </c>
      <c r="C62" s="70">
        <v>56.040999999999997</v>
      </c>
      <c r="D62" s="70">
        <v>101.48</v>
      </c>
      <c r="E62" s="71">
        <f t="shared" si="0"/>
        <v>-44.776310603074499</v>
      </c>
      <c r="F62" s="63">
        <v>4501153372</v>
      </c>
    </row>
    <row r="63" spans="1:6" x14ac:dyDescent="0.25">
      <c r="A63" s="29">
        <v>61</v>
      </c>
      <c r="B63" s="69" t="s">
        <v>12</v>
      </c>
      <c r="C63" s="70">
        <v>50.48</v>
      </c>
      <c r="D63" s="70">
        <v>47.75</v>
      </c>
      <c r="E63" s="71">
        <f t="shared" si="0"/>
        <v>5.7172774869109988</v>
      </c>
      <c r="F63" s="63">
        <v>7536165141</v>
      </c>
    </row>
    <row r="64" spans="1:6" x14ac:dyDescent="0.25">
      <c r="A64" s="29">
        <v>62</v>
      </c>
      <c r="B64" s="69" t="s">
        <v>33</v>
      </c>
      <c r="C64" s="70">
        <v>40.270000000000003</v>
      </c>
      <c r="D64" s="70">
        <v>42.13</v>
      </c>
      <c r="E64" s="71">
        <f t="shared" si="0"/>
        <v>-4.4149062425824841</v>
      </c>
      <c r="F64" s="63">
        <v>6154035727</v>
      </c>
    </row>
    <row r="65" spans="1:6" x14ac:dyDescent="0.25">
      <c r="A65" s="29">
        <v>63</v>
      </c>
      <c r="B65" s="69" t="s">
        <v>11</v>
      </c>
      <c r="C65" s="70">
        <v>37.381999999999998</v>
      </c>
      <c r="D65" s="70">
        <v>34.259</v>
      </c>
      <c r="E65" s="71">
        <f t="shared" si="0"/>
        <v>9.1158527686155288</v>
      </c>
      <c r="F65" s="63">
        <v>7901550330</v>
      </c>
    </row>
    <row r="66" spans="1:6" x14ac:dyDescent="0.25">
      <c r="A66" s="29">
        <v>64</v>
      </c>
      <c r="B66" s="69" t="s">
        <v>40</v>
      </c>
      <c r="C66" s="70">
        <v>34.62059</v>
      </c>
      <c r="D66" s="70">
        <v>25.484999999999999</v>
      </c>
      <c r="E66" s="71">
        <f t="shared" si="0"/>
        <v>35.846929566411625</v>
      </c>
      <c r="F66" s="63">
        <v>1435296482</v>
      </c>
    </row>
    <row r="67" spans="1:6" x14ac:dyDescent="0.25">
      <c r="A67" s="29">
        <v>65</v>
      </c>
      <c r="B67" s="69" t="s">
        <v>36</v>
      </c>
      <c r="C67" s="70">
        <v>23.593</v>
      </c>
      <c r="D67" s="70">
        <v>21.579000000000001</v>
      </c>
      <c r="E67" s="71">
        <f t="shared" ref="E67" si="1">(C67/D67-1)*100</f>
        <v>9.3331479679317866</v>
      </c>
      <c r="F67" s="63">
        <v>3818029140</v>
      </c>
    </row>
  </sheetData>
  <sortState xmlns:xlrd2="http://schemas.microsoft.com/office/spreadsheetml/2017/richdata2" ref="A3:E67">
    <sortCondition descending="1" ref="C3:C67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1F5AB-24F2-4A40-A1F8-5C7C96752B6C}">
  <sheetPr codeName="Лист6"/>
  <dimension ref="A1:M32"/>
  <sheetViews>
    <sheetView workbookViewId="0">
      <selection activeCell="C4" sqref="C4"/>
    </sheetView>
  </sheetViews>
  <sheetFormatPr defaultRowHeight="15" x14ac:dyDescent="0.25"/>
  <cols>
    <col min="2" max="2" width="54" customWidth="1"/>
  </cols>
  <sheetData>
    <row r="1" spans="1:13" x14ac:dyDescent="0.25">
      <c r="A1" t="s">
        <v>76</v>
      </c>
    </row>
    <row r="2" spans="1:13" x14ac:dyDescent="0.25">
      <c r="A2" s="102" t="s">
        <v>2</v>
      </c>
      <c r="B2" s="102" t="s">
        <v>0</v>
      </c>
      <c r="C2" s="104" t="s">
        <v>87</v>
      </c>
      <c r="D2" s="105"/>
      <c r="E2" s="106"/>
      <c r="F2" s="104" t="s">
        <v>77</v>
      </c>
      <c r="G2" s="105"/>
      <c r="H2" s="106"/>
      <c r="I2" s="102" t="s">
        <v>78</v>
      </c>
      <c r="J2" s="102" t="s">
        <v>79</v>
      </c>
      <c r="K2" s="15"/>
    </row>
    <row r="3" spans="1:13" ht="56.25" x14ac:dyDescent="0.25">
      <c r="A3" s="103"/>
      <c r="B3" s="103"/>
      <c r="C3" s="16" t="s">
        <v>80</v>
      </c>
      <c r="D3" s="1" t="s">
        <v>81</v>
      </c>
      <c r="E3" s="1" t="s">
        <v>82</v>
      </c>
      <c r="F3" s="17" t="s">
        <v>80</v>
      </c>
      <c r="G3" s="1" t="s">
        <v>81</v>
      </c>
      <c r="H3" s="1" t="s">
        <v>82</v>
      </c>
      <c r="I3" s="103"/>
      <c r="J3" s="103"/>
      <c r="K3" s="15"/>
    </row>
    <row r="4" spans="1:13" x14ac:dyDescent="0.25">
      <c r="A4" s="18"/>
      <c r="B4" s="19" t="s">
        <v>42</v>
      </c>
      <c r="C4" s="20">
        <f>VLOOKUP(B4,[2]Трансп!A$2:CP$32,21,FALSE)/1000</f>
        <v>2425.0859999999998</v>
      </c>
      <c r="D4" s="20">
        <f>VLOOKUP(B4,[2]Трансп!A$2:CP$32,25,FALSE)/1000</f>
        <v>1025.5429999999999</v>
      </c>
      <c r="E4" s="20">
        <f>VLOOKUP(B4,[2]Трансп!A$2:CP$32,28,FALSE)/1000</f>
        <v>750.61199999999997</v>
      </c>
      <c r="F4" s="20">
        <f>VLOOKUP(B4,[2]Трансп!A$2:CP$32,19,FALSE)/1000</f>
        <v>1702.7660000000001</v>
      </c>
      <c r="G4" s="20">
        <f>VLOOKUP(B4,[2]Трансп!A$2:CP$32,23,FALSE)/1000</f>
        <v>865.14099999999996</v>
      </c>
      <c r="H4" s="20">
        <f>VLOOKUP(B4,[2]Трансп!A$2:CP$32,26,FALSE)/1000</f>
        <v>631.47900000000004</v>
      </c>
      <c r="I4" s="20">
        <f>C4/F4-1</f>
        <v>0.42420391292755411</v>
      </c>
      <c r="J4" s="20"/>
      <c r="K4" s="21"/>
      <c r="M4" s="21"/>
    </row>
    <row r="5" spans="1:13" x14ac:dyDescent="0.25">
      <c r="A5" s="18"/>
      <c r="B5" s="22" t="s">
        <v>43</v>
      </c>
      <c r="C5" s="20">
        <f>VLOOKUP(B5,[2]Трансп!A$2:CP$32,21,FALSE)/1000</f>
        <v>0</v>
      </c>
      <c r="D5" s="20">
        <f>VLOOKUP(B5,[2]Трансп!A$2:CP$32,25,FALSE)/1000</f>
        <v>0</v>
      </c>
      <c r="E5" s="20">
        <f>VLOOKUP(B5,[2]Трансп!A$2:CP$32,28,FALSE)/1000</f>
        <v>0</v>
      </c>
      <c r="F5" s="20">
        <f>VLOOKUP(B5,[2]Трансп!A$2:CP$32,19,FALSE)/1000</f>
        <v>0</v>
      </c>
      <c r="G5" s="20">
        <f>VLOOKUP(B5,[2]Трансп!A$2:CP$32,23,FALSE)/1000</f>
        <v>0</v>
      </c>
      <c r="H5" s="20">
        <f>VLOOKUP(B5,[2]Трансп!A$2:CP$32,26,FALSE)/1000</f>
        <v>0</v>
      </c>
      <c r="I5" s="20"/>
      <c r="J5" s="20"/>
      <c r="K5" s="21"/>
    </row>
    <row r="6" spans="1:13" x14ac:dyDescent="0.25">
      <c r="A6" s="18"/>
      <c r="B6" s="23" t="s">
        <v>44</v>
      </c>
      <c r="C6" s="20">
        <f>VLOOKUP(B6,[2]Трансп!A$2:CP$32,21,FALSE)/1000</f>
        <v>0</v>
      </c>
      <c r="D6" s="20">
        <f>VLOOKUP(B6,[2]Трансп!A$2:CP$32,25,FALSE)/1000</f>
        <v>0</v>
      </c>
      <c r="E6" s="20">
        <f>VLOOKUP(B6,[2]Трансп!A$2:CP$32,28,FALSE)/1000</f>
        <v>0</v>
      </c>
      <c r="F6" s="20">
        <f>VLOOKUP(B6,[2]Трансп!A$2:CP$32,19,FALSE)/1000</f>
        <v>0</v>
      </c>
      <c r="G6" s="20">
        <f>VLOOKUP(B6,[2]Трансп!A$2:CP$32,23,FALSE)/1000</f>
        <v>0</v>
      </c>
      <c r="H6" s="20">
        <f>VLOOKUP(B6,[2]Трансп!A$2:CP$32,26,FALSE)/1000</f>
        <v>0</v>
      </c>
      <c r="I6" s="20"/>
      <c r="J6" s="20"/>
      <c r="K6" s="21"/>
    </row>
    <row r="7" spans="1:13" x14ac:dyDescent="0.25">
      <c r="A7" s="18"/>
      <c r="B7" s="23" t="s">
        <v>45</v>
      </c>
      <c r="C7" s="20">
        <f>VLOOKUP(B7,[2]Трансп!A$2:CP$32,21,FALSE)/1000</f>
        <v>2368.723</v>
      </c>
      <c r="D7" s="20">
        <f>VLOOKUP(B7,[2]Трансп!A$2:CP$32,25,FALSE)/1000</f>
        <v>2245.614</v>
      </c>
      <c r="E7" s="20">
        <f>VLOOKUP(B7,[2]Трансп!A$2:CP$32,28,FALSE)/1000</f>
        <v>1757.7539999999999</v>
      </c>
      <c r="F7" s="20">
        <f>VLOOKUP(B7,[2]Трансп!A$2:CP$32,19,FALSE)/1000</f>
        <v>783.08600000000001</v>
      </c>
      <c r="G7" s="20">
        <f>VLOOKUP(B7,[2]Трансп!A$2:CP$32,23,FALSE)/1000</f>
        <v>682.17100000000005</v>
      </c>
      <c r="H7" s="20">
        <f>VLOOKUP(B7,[2]Трансп!A$2:CP$32,26,FALSE)/1000</f>
        <v>493.84100000000001</v>
      </c>
      <c r="I7" s="20"/>
      <c r="J7" s="20"/>
      <c r="K7" s="21"/>
    </row>
    <row r="8" spans="1:13" x14ac:dyDescent="0.25">
      <c r="A8" s="18"/>
      <c r="B8" s="23" t="s">
        <v>46</v>
      </c>
      <c r="C8" s="20">
        <f>VLOOKUP(B8,[2]Трансп!A$2:CP$32,21,FALSE)/1000</f>
        <v>35.959000000000003</v>
      </c>
      <c r="D8" s="20">
        <f>VLOOKUP(B8,[2]Трансп!A$2:CP$32,25,FALSE)/1000</f>
        <v>0.38100000000000001</v>
      </c>
      <c r="E8" s="20">
        <f>VLOOKUP(B8,[2]Трансп!A$2:CP$32,28,FALSE)/1000</f>
        <v>0.38100000000000001</v>
      </c>
      <c r="F8" s="20">
        <f>VLOOKUP(B8,[2]Трансп!A$2:CP$32,19,FALSE)/1000</f>
        <v>41.945</v>
      </c>
      <c r="G8" s="20">
        <f>VLOOKUP(B8,[2]Трансп!A$2:CP$32,23,FALSE)/1000</f>
        <v>5.8680000000000003</v>
      </c>
      <c r="H8" s="20">
        <f>VLOOKUP(B8,[2]Трансп!A$2:CP$32,26,FALSE)/1000</f>
        <v>2.673</v>
      </c>
      <c r="I8" s="20"/>
      <c r="J8" s="20"/>
      <c r="K8" s="21"/>
    </row>
    <row r="9" spans="1:13" x14ac:dyDescent="0.25">
      <c r="A9" s="18"/>
      <c r="B9" s="19" t="s">
        <v>47</v>
      </c>
      <c r="C9" s="20">
        <f>VLOOKUP(B9,[2]Трансп!A$2:CP$32,21,FALSE)/1000</f>
        <v>0</v>
      </c>
      <c r="D9" s="20">
        <f>VLOOKUP(B9,[2]Трансп!A$2:CP$32,25,FALSE)/1000</f>
        <v>0</v>
      </c>
      <c r="E9" s="20">
        <f>VLOOKUP(B9,[2]Трансп!A$2:CP$32,28,FALSE)/1000</f>
        <v>0</v>
      </c>
      <c r="F9" s="20">
        <f>VLOOKUP(B9,[2]Трансп!A$2:CP$32,19,FALSE)/1000</f>
        <v>0</v>
      </c>
      <c r="G9" s="20">
        <f>VLOOKUP(B9,[2]Трансп!A$2:CP$32,23,FALSE)/1000</f>
        <v>0</v>
      </c>
      <c r="H9" s="20">
        <f>VLOOKUP(B9,[2]Трансп!A$2:CP$32,26,FALSE)/1000</f>
        <v>0</v>
      </c>
      <c r="I9" s="20"/>
      <c r="J9" s="20"/>
      <c r="K9" s="21"/>
      <c r="L9" s="15"/>
    </row>
    <row r="10" spans="1:13" x14ac:dyDescent="0.25">
      <c r="A10" s="18"/>
      <c r="B10" s="23" t="s">
        <v>48</v>
      </c>
      <c r="C10" s="20">
        <f>VLOOKUP(B10,[2]Трансп!A$2:CP$32,21,FALSE)/1000</f>
        <v>1654.4159999999999</v>
      </c>
      <c r="D10" s="20">
        <f>VLOOKUP(B10,[2]Трансп!A$2:CP$32,25,FALSE)/1000</f>
        <v>0</v>
      </c>
      <c r="E10" s="20">
        <f>VLOOKUP(B10,[2]Трансп!A$2:CP$32,28,FALSE)/1000</f>
        <v>0</v>
      </c>
      <c r="F10" s="20">
        <f>VLOOKUP(B10,[2]Трансп!A$2:CP$32,19,FALSE)/1000</f>
        <v>1536.768</v>
      </c>
      <c r="G10" s="20">
        <f>VLOOKUP(B10,[2]Трансп!A$2:CP$32,23,FALSE)/1000</f>
        <v>747</v>
      </c>
      <c r="H10" s="20">
        <f>VLOOKUP(B10,[2]Трансп!A$2:CP$32,26,FALSE)/1000</f>
        <v>0</v>
      </c>
      <c r="I10" s="20"/>
      <c r="J10" s="20"/>
      <c r="K10" s="21"/>
    </row>
    <row r="11" spans="1:13" x14ac:dyDescent="0.25">
      <c r="A11" s="18"/>
      <c r="B11" s="22" t="s">
        <v>49</v>
      </c>
      <c r="C11" s="20">
        <f>VLOOKUP(B11,[2]Трансп!A$2:CP$32,21,FALSE)/1000</f>
        <v>2977.5680000000002</v>
      </c>
      <c r="D11" s="20">
        <f>VLOOKUP(B11,[2]Трансп!A$2:CP$32,25,FALSE)/1000</f>
        <v>2021.2940000000001</v>
      </c>
      <c r="E11" s="20">
        <f>VLOOKUP(B11,[2]Трансп!A$2:CP$32,28,FALSE)/1000</f>
        <v>1631.9179999999999</v>
      </c>
      <c r="F11" s="20">
        <f>VLOOKUP(B11,[2]Трансп!A$2:CP$32,19,FALSE)/1000</f>
        <v>2288.8560000000002</v>
      </c>
      <c r="G11" s="20">
        <f>VLOOKUP(B11,[2]Трансп!A$2:CP$32,23,FALSE)/1000</f>
        <v>1512.558</v>
      </c>
      <c r="H11" s="20">
        <f>VLOOKUP(B11,[2]Трансп!A$2:CP$32,26,FALSE)/1000</f>
        <v>1065.2239999999999</v>
      </c>
      <c r="I11" s="20"/>
      <c r="J11" s="20"/>
      <c r="K11" s="21"/>
    </row>
    <row r="12" spans="1:13" x14ac:dyDescent="0.25">
      <c r="A12" s="18"/>
      <c r="B12" s="22" t="s">
        <v>50</v>
      </c>
      <c r="C12" s="20">
        <f>VLOOKUP(B12,[2]Трансп!A$2:CP$32,21,FALSE)/1000</f>
        <v>74.433000000000007</v>
      </c>
      <c r="D12" s="20">
        <f>VLOOKUP(B12,[2]Трансп!A$2:CP$32,25,FALSE)/1000</f>
        <v>22.65</v>
      </c>
      <c r="E12" s="20">
        <f>VLOOKUP(B12,[2]Трансп!A$2:CP$32,28,FALSE)/1000</f>
        <v>17.949000000000002</v>
      </c>
      <c r="F12" s="20">
        <f>VLOOKUP(B12,[2]Трансп!A$2:CP$32,19,FALSE)/1000</f>
        <v>63.716000000000001</v>
      </c>
      <c r="G12" s="20">
        <f>VLOOKUP(B12,[2]Трансп!A$2:CP$32,23,FALSE)/1000</f>
        <v>18.091000000000001</v>
      </c>
      <c r="H12" s="20">
        <f>VLOOKUP(B12,[2]Трансп!A$2:CP$32,26,FALSE)/1000</f>
        <v>13.846</v>
      </c>
      <c r="I12" s="20"/>
      <c r="J12" s="20"/>
      <c r="K12" s="21"/>
      <c r="L12" s="15"/>
    </row>
    <row r="13" spans="1:13" x14ac:dyDescent="0.25">
      <c r="A13" s="18"/>
      <c r="B13" s="23" t="s">
        <v>51</v>
      </c>
      <c r="C13" s="20">
        <f>VLOOKUP(B13,[2]Трансп!A$2:CP$32,21,FALSE)/1000</f>
        <v>436.762</v>
      </c>
      <c r="D13" s="20">
        <f>VLOOKUP(B13,[2]Трансп!A$2:CP$32,25,FALSE)/1000</f>
        <v>310.66399999999999</v>
      </c>
      <c r="E13" s="20">
        <f>VLOOKUP(B13,[2]Трансп!A$2:CP$32,28,FALSE)/1000</f>
        <v>216.55699999999999</v>
      </c>
      <c r="F13" s="20">
        <f>VLOOKUP(B13,[2]Трансп!A$2:CP$32,19,FALSE)/1000</f>
        <v>178.364</v>
      </c>
      <c r="G13" s="20">
        <f>VLOOKUP(B13,[2]Трансп!A$2:CP$32,23,FALSE)/1000</f>
        <v>125.441</v>
      </c>
      <c r="H13" s="20">
        <f>VLOOKUP(B13,[2]Трансп!A$2:CP$32,26,FALSE)/1000</f>
        <v>78.647000000000006</v>
      </c>
      <c r="I13" s="20"/>
      <c r="J13" s="20"/>
      <c r="K13" s="21"/>
      <c r="L13" s="15"/>
    </row>
    <row r="14" spans="1:13" x14ac:dyDescent="0.25">
      <c r="A14" s="18"/>
      <c r="B14" s="24" t="s">
        <v>52</v>
      </c>
      <c r="C14" s="20">
        <f>VLOOKUP(B14,[2]Трансп!A$2:CP$32,21,FALSE)/1000</f>
        <v>133.37200000000001</v>
      </c>
      <c r="D14" s="20">
        <f>VLOOKUP(B14,[2]Трансп!A$2:CP$32,25,FALSE)/1000</f>
        <v>133.37200000000001</v>
      </c>
      <c r="E14" s="20">
        <f>VLOOKUP(B14,[2]Трансп!A$2:CP$32,28,FALSE)/1000</f>
        <v>106.03</v>
      </c>
      <c r="F14" s="20">
        <f>VLOOKUP(B14,[2]Трансп!A$2:CP$32,19,FALSE)/1000</f>
        <v>80.004999999999995</v>
      </c>
      <c r="G14" s="20">
        <f>VLOOKUP(B14,[2]Трансп!A$2:CP$32,23,FALSE)/1000</f>
        <v>80.004999999999995</v>
      </c>
      <c r="H14" s="20">
        <f>VLOOKUP(B14,[2]Трансп!A$2:CP$32,26,FALSE)/1000</f>
        <v>59.597999999999999</v>
      </c>
      <c r="I14" s="20"/>
      <c r="J14" s="20"/>
      <c r="K14" s="21"/>
      <c r="L14" s="15"/>
    </row>
    <row r="15" spans="1:13" x14ac:dyDescent="0.25">
      <c r="A15" s="18"/>
      <c r="B15" s="19" t="s">
        <v>53</v>
      </c>
      <c r="C15" s="20">
        <f>VLOOKUP(B15,[2]Трансп!A$2:CP$32,21,FALSE)/1000</f>
        <v>494.4856381099961</v>
      </c>
      <c r="D15" s="20">
        <f>VLOOKUP(B15,[2]Трансп!A$2:CP$32,25,FALSE)/1000</f>
        <v>43.453321590000009</v>
      </c>
      <c r="E15" s="20">
        <f>VLOOKUP(B15,[2]Трансп!A$2:CP$32,28,FALSE)/1000</f>
        <v>35.4053787</v>
      </c>
      <c r="F15" s="20">
        <f>VLOOKUP(B15,[2]Трансп!A$2:CP$32,19,FALSE)/1000</f>
        <v>462.16399999999999</v>
      </c>
      <c r="G15" s="20">
        <f>VLOOKUP(B15,[2]Трансп!A$2:CP$32,23,FALSE)/1000</f>
        <v>4.0369999999999999</v>
      </c>
      <c r="H15" s="20">
        <f>VLOOKUP(B15,[2]Трансп!A$2:CP$32,26,FALSE)/1000</f>
        <v>2.7949999999999999</v>
      </c>
      <c r="I15" s="20"/>
      <c r="J15" s="20"/>
      <c r="K15" s="21"/>
    </row>
    <row r="16" spans="1:13" x14ac:dyDescent="0.25">
      <c r="A16" s="18"/>
      <c r="B16" s="23" t="s">
        <v>54</v>
      </c>
      <c r="C16" s="20">
        <f>VLOOKUP(B16,[2]Трансп!A$2:CP$32,21,FALSE)/1000</f>
        <v>9870.1756769999993</v>
      </c>
      <c r="D16" s="20">
        <f>VLOOKUP(B16,[2]Трансп!A$2:CP$32,25,FALSE)/1000</f>
        <v>2738.6257819999996</v>
      </c>
      <c r="E16" s="20">
        <f>VLOOKUP(B16,[2]Трансп!A$2:CP$32,28,FALSE)/1000</f>
        <v>2138.4216000000001</v>
      </c>
      <c r="F16" s="20">
        <f>VLOOKUP(B16,[2]Трансп!A$2:CP$32,19,FALSE)/1000</f>
        <v>6236.97</v>
      </c>
      <c r="G16" s="20">
        <f>VLOOKUP(B16,[2]Трансп!A$2:CP$32,23,FALSE)/1000</f>
        <v>1772.568</v>
      </c>
      <c r="H16" s="20">
        <f>VLOOKUP(B16,[2]Трансп!A$2:CP$32,26,FALSE)/1000</f>
        <v>1279.982</v>
      </c>
      <c r="I16" s="20"/>
      <c r="J16" s="20"/>
      <c r="K16" s="25"/>
    </row>
    <row r="17" spans="1:13" x14ac:dyDescent="0.25">
      <c r="A17" s="18"/>
      <c r="B17" s="22" t="s">
        <v>55</v>
      </c>
      <c r="C17" s="20">
        <f>VLOOKUP(B17,[2]Трансп!A$2:CP$32,21,FALSE)/1000</f>
        <v>1025.796</v>
      </c>
      <c r="D17" s="20">
        <f>VLOOKUP(B17,[2]Трансп!A$2:CP$32,25,FALSE)/1000</f>
        <v>463.30900000000003</v>
      </c>
      <c r="E17" s="20">
        <f>VLOOKUP(B17,[2]Трансп!A$2:CP$32,28,FALSE)/1000</f>
        <v>353.67500000000001</v>
      </c>
      <c r="F17" s="20">
        <f>VLOOKUP(B17,[2]Трансп!A$2:CP$32,19,FALSE)/1000</f>
        <v>594.11300000000006</v>
      </c>
      <c r="G17" s="20">
        <f>VLOOKUP(B17,[2]Трансп!A$2:CP$32,23,FALSE)/1000</f>
        <v>186.458</v>
      </c>
      <c r="H17" s="20">
        <f>VLOOKUP(B17,[2]Трансп!A$2:CP$32,26,FALSE)/1000</f>
        <v>132.91</v>
      </c>
      <c r="I17" s="20"/>
      <c r="J17" s="20"/>
      <c r="K17" s="21"/>
      <c r="L17" s="15"/>
      <c r="M17" s="21"/>
    </row>
    <row r="18" spans="1:13" x14ac:dyDescent="0.25">
      <c r="A18" s="18"/>
      <c r="B18" s="19" t="s">
        <v>56</v>
      </c>
      <c r="C18" s="20">
        <f>VLOOKUP(B18,[2]Трансп!A$2:CP$32,21,FALSE)/1000</f>
        <v>0</v>
      </c>
      <c r="D18" s="20">
        <f>VLOOKUP(B18,[2]Трансп!A$2:CP$32,25,FALSE)/1000</f>
        <v>0</v>
      </c>
      <c r="E18" s="20">
        <f>VLOOKUP(B18,[2]Трансп!A$2:CP$32,28,FALSE)/1000</f>
        <v>0</v>
      </c>
      <c r="F18" s="20">
        <f>VLOOKUP(B18,[2]Трансп!A$2:CP$32,19,FALSE)/1000</f>
        <v>0</v>
      </c>
      <c r="G18" s="20">
        <f>VLOOKUP(B18,[2]Трансп!A$2:CP$32,23,FALSE)/1000</f>
        <v>0</v>
      </c>
      <c r="H18" s="20">
        <f>VLOOKUP(B18,[2]Трансп!A$2:CP$32,26,FALSE)/1000</f>
        <v>0</v>
      </c>
      <c r="I18" s="20"/>
      <c r="J18" s="20"/>
      <c r="K18" s="25"/>
      <c r="L18" s="15"/>
      <c r="M18" s="21"/>
    </row>
    <row r="19" spans="1:13" x14ac:dyDescent="0.25">
      <c r="A19" s="18"/>
      <c r="B19" s="23" t="s">
        <v>57</v>
      </c>
      <c r="C19" s="20">
        <f>VLOOKUP(B19,[2]Трансп!A$2:CP$32,21,FALSE)/1000</f>
        <v>1089.1989739999999</v>
      </c>
      <c r="D19" s="20">
        <f>VLOOKUP(B19,[2]Трансп!A$2:CP$32,25,FALSE)/1000</f>
        <v>374.13144799999998</v>
      </c>
      <c r="E19" s="20">
        <f>VLOOKUP(B19,[2]Трансп!A$2:CP$32,28,FALSE)/1000</f>
        <v>263.09390200000001</v>
      </c>
      <c r="F19" s="20">
        <f>VLOOKUP(B19,[2]Трансп!A$2:CP$32,19,FALSE)/1000</f>
        <v>207.953</v>
      </c>
      <c r="G19" s="20">
        <f>VLOOKUP(B19,[2]Трансп!A$2:CP$32,23,FALSE)/1000</f>
        <v>89.849000000000004</v>
      </c>
      <c r="H19" s="20">
        <f>VLOOKUP(B19,[2]Трансп!A$2:CP$32,26,FALSE)/1000</f>
        <v>64.441999999999993</v>
      </c>
      <c r="I19" s="20"/>
      <c r="J19" s="20"/>
      <c r="L19" s="15"/>
      <c r="M19" s="21"/>
    </row>
    <row r="20" spans="1:13" x14ac:dyDescent="0.25">
      <c r="A20" s="18"/>
      <c r="B20" s="19" t="s">
        <v>58</v>
      </c>
      <c r="C20" s="20">
        <f>VLOOKUP(B20,[2]Трансп!A$2:CP$32,21,FALSE)/1000</f>
        <v>237.07499999999999</v>
      </c>
      <c r="D20" s="20">
        <f>VLOOKUP(B20,[2]Трансп!A$2:CP$32,25,FALSE)/1000</f>
        <v>207.392</v>
      </c>
      <c r="E20" s="20">
        <f>VLOOKUP(B20,[2]Трансп!A$2:CP$32,28,FALSE)/1000</f>
        <v>137.56</v>
      </c>
      <c r="F20" s="20">
        <f>VLOOKUP(B20,[2]Трансп!A$2:CP$32,19,FALSE)/1000</f>
        <v>202.20099999999999</v>
      </c>
      <c r="G20" s="20">
        <f>VLOOKUP(B20,[2]Трансп!A$2:CP$32,23,FALSE)/1000</f>
        <v>152.01599999999999</v>
      </c>
      <c r="H20" s="20">
        <f>VLOOKUP(B20,[2]Трансп!A$2:CP$32,26,FALSE)/1000</f>
        <v>110.739</v>
      </c>
      <c r="I20" s="20"/>
      <c r="J20" s="20"/>
      <c r="K20" s="21"/>
    </row>
    <row r="21" spans="1:13" x14ac:dyDescent="0.25">
      <c r="A21" s="18"/>
      <c r="B21" s="19" t="s">
        <v>59</v>
      </c>
      <c r="C21" s="20">
        <f>VLOOKUP(B21,[2]Трансп!A$2:CP$32,21,FALSE)/1000</f>
        <v>734.60199999999998</v>
      </c>
      <c r="D21" s="20">
        <f>VLOOKUP(B21,[2]Трансп!A$2:CP$32,25,FALSE)/1000</f>
        <v>262.33199999999999</v>
      </c>
      <c r="E21" s="20">
        <f>VLOOKUP(B21,[2]Трансп!A$2:CP$32,28,FALSE)/1000</f>
        <v>214.49299999999999</v>
      </c>
      <c r="F21" s="20">
        <f>VLOOKUP(B21,[2]Трансп!A$2:CP$32,19,FALSE)/1000</f>
        <v>755.91499999999996</v>
      </c>
      <c r="G21" s="20">
        <f>VLOOKUP(B21,[2]Трансп!A$2:CP$32,23,FALSE)/1000</f>
        <v>134.62100000000001</v>
      </c>
      <c r="H21" s="20">
        <f>VLOOKUP(B21,[2]Трансп!A$2:CP$32,26,FALSE)/1000</f>
        <v>100.941</v>
      </c>
      <c r="I21" s="20"/>
      <c r="J21" s="20"/>
      <c r="K21" s="21"/>
      <c r="M21" s="21"/>
    </row>
    <row r="22" spans="1:13" x14ac:dyDescent="0.25">
      <c r="A22" s="18"/>
      <c r="B22" s="19" t="s">
        <v>60</v>
      </c>
      <c r="C22" s="20">
        <f>VLOOKUP(B22,[2]Трансп!A$2:CP$32,21,FALSE)/1000</f>
        <v>1979.02</v>
      </c>
      <c r="D22" s="20">
        <f>VLOOKUP(B22,[2]Трансп!A$2:CP$32,25,FALSE)/1000</f>
        <v>1655.144</v>
      </c>
      <c r="E22" s="20">
        <f>VLOOKUP(B22,[2]Трансп!A$2:CP$32,28,FALSE)/1000</f>
        <v>1253.212</v>
      </c>
      <c r="F22" s="20">
        <f>VLOOKUP(B22,[2]Трансп!A$2:CP$32,19,FALSE)/1000</f>
        <v>2989.61</v>
      </c>
      <c r="G22" s="20">
        <f>VLOOKUP(B22,[2]Трансп!A$2:CP$32,23,FALSE)/1000</f>
        <v>938.65499999999997</v>
      </c>
      <c r="H22" s="20">
        <f>VLOOKUP(B22,[2]Трансп!A$2:CP$32,26,FALSE)/1000</f>
        <v>642.19000000000005</v>
      </c>
      <c r="I22" s="20"/>
      <c r="J22" s="20"/>
      <c r="K22" s="21"/>
    </row>
    <row r="23" spans="1:13" x14ac:dyDescent="0.25">
      <c r="A23" s="18"/>
      <c r="B23" s="19" t="s">
        <v>86</v>
      </c>
      <c r="C23" s="20">
        <f>VLOOKUP(B23,[2]Трансп!A$2:CP$32,21,FALSE)/1000</f>
        <v>407.012202</v>
      </c>
      <c r="D23" s="20">
        <f>VLOOKUP(B23,[2]Трансп!A$2:CP$32,25,FALSE)/1000</f>
        <v>327.77561399999996</v>
      </c>
      <c r="E23" s="20">
        <f>VLOOKUP(B23,[2]Трансп!A$2:CP$32,28,FALSE)/1000</f>
        <v>240.88228599999999</v>
      </c>
      <c r="F23" s="20">
        <f>VLOOKUP(B23,[2]Трансп!A$2:CP$32,19,FALSE)/1000</f>
        <v>44.164000000000001</v>
      </c>
      <c r="G23" s="20">
        <f>VLOOKUP(B23,[2]Трансп!A$2:CP$32,23,FALSE)/1000</f>
        <v>18.652000000000001</v>
      </c>
      <c r="H23" s="20">
        <f>VLOOKUP(B23,[2]Трансп!A$2:CP$32,26,FALSE)/1000</f>
        <v>11.507999999999999</v>
      </c>
      <c r="I23" s="20"/>
      <c r="J23" s="20"/>
      <c r="K23" s="21"/>
    </row>
    <row r="24" spans="1:13" x14ac:dyDescent="0.25">
      <c r="B24" t="s">
        <v>61</v>
      </c>
      <c r="C24" s="20">
        <f>VLOOKUP(B24,[2]Трансп!A$2:CP$32,21,FALSE)/1000</f>
        <v>172.14599999999999</v>
      </c>
      <c r="D24" s="20">
        <f>VLOOKUP(B24,[2]Трансп!A$2:CP$32,25,FALSE)/1000</f>
        <v>91.754999999999995</v>
      </c>
      <c r="E24" s="20">
        <f>VLOOKUP(B24,[2]Трансп!A$2:CP$32,28,FALSE)/1000</f>
        <v>67.460999999999999</v>
      </c>
      <c r="F24" s="20">
        <f>VLOOKUP(B24,[2]Трансп!A$2:CP$32,19,FALSE)/1000</f>
        <v>140.804</v>
      </c>
      <c r="G24" s="20">
        <f>VLOOKUP(B24,[2]Трансп!A$2:CP$32,23,FALSE)/1000</f>
        <v>50.192</v>
      </c>
      <c r="H24" s="20">
        <f>VLOOKUP(B24,[2]Трансп!A$2:CP$32,26,FALSE)/1000</f>
        <v>37.073</v>
      </c>
    </row>
    <row r="25" spans="1:13" x14ac:dyDescent="0.25">
      <c r="B25" t="s">
        <v>62</v>
      </c>
      <c r="C25" s="20">
        <f>VLOOKUP(B25,[2]Трансп!A$2:CP$32,21,FALSE)/1000</f>
        <v>0</v>
      </c>
      <c r="D25" s="20">
        <f>VLOOKUP(B25,[2]Трансп!A$2:CP$32,25,FALSE)/1000</f>
        <v>0</v>
      </c>
      <c r="E25" s="20">
        <f>VLOOKUP(B25,[2]Трансп!A$2:CP$32,28,FALSE)/1000</f>
        <v>0</v>
      </c>
      <c r="F25" s="20">
        <f>VLOOKUP(B25,[2]Трансп!A$2:CP$32,19,FALSE)/1000</f>
        <v>0</v>
      </c>
      <c r="G25" s="20">
        <f>VLOOKUP(B25,[2]Трансп!A$2:CP$32,23,FALSE)/1000</f>
        <v>0</v>
      </c>
      <c r="H25" s="20">
        <f>VLOOKUP(B25,[2]Трансп!A$2:CP$32,26,FALSE)/1000</f>
        <v>0</v>
      </c>
    </row>
    <row r="26" spans="1:13" x14ac:dyDescent="0.25">
      <c r="B26" t="s">
        <v>63</v>
      </c>
      <c r="C26" s="20">
        <f>VLOOKUP(B26,[2]Трансп!A$2:CP$32,21,FALSE)/1000</f>
        <v>73.813000000000002</v>
      </c>
      <c r="D26" s="20">
        <f>VLOOKUP(B26,[2]Трансп!A$2:CP$32,25,FALSE)/1000</f>
        <v>45.030999999999999</v>
      </c>
      <c r="E26" s="20">
        <f>VLOOKUP(B26,[2]Трансп!A$2:CP$32,28,FALSE)/1000</f>
        <v>37.893999999999998</v>
      </c>
      <c r="F26" s="20">
        <f>VLOOKUP(B26,[2]Трансп!A$2:CP$32,19,FALSE)/1000</f>
        <v>166.04300000000001</v>
      </c>
      <c r="G26" s="20">
        <f>VLOOKUP(B26,[2]Трансп!A$2:CP$32,23,FALSE)/1000</f>
        <v>35.317</v>
      </c>
      <c r="H26" s="20">
        <f>VLOOKUP(B26,[2]Трансп!A$2:CP$32,26,FALSE)/1000</f>
        <v>26.795999999999999</v>
      </c>
    </row>
    <row r="27" spans="1:13" x14ac:dyDescent="0.25">
      <c r="B27" t="s">
        <v>64</v>
      </c>
      <c r="C27" s="20">
        <f>VLOOKUP(B27,[2]Трансп!A$2:CP$32,21,FALSE)/1000</f>
        <v>1941.1010000000001</v>
      </c>
      <c r="D27" s="20">
        <f>VLOOKUP(B27,[2]Трансп!A$2:CP$32,25,FALSE)/1000</f>
        <v>592.48599999999999</v>
      </c>
      <c r="E27" s="20">
        <f>VLOOKUP(B27,[2]Трансп!A$2:CP$32,28,FALSE)/1000</f>
        <v>434.19400000000002</v>
      </c>
      <c r="F27" s="20">
        <f>VLOOKUP(B27,[2]Трансп!A$2:CP$32,19,FALSE)/1000</f>
        <v>1270.6780000000001</v>
      </c>
      <c r="G27" s="20">
        <f>VLOOKUP(B27,[2]Трансп!A$2:CP$32,23,FALSE)/1000</f>
        <v>383.35500000000002</v>
      </c>
      <c r="H27" s="20">
        <f>VLOOKUP(B27,[2]Трансп!A$2:CP$32,26,FALSE)/1000</f>
        <v>285.83699999999999</v>
      </c>
    </row>
    <row r="28" spans="1:13" x14ac:dyDescent="0.25">
      <c r="B28" t="s">
        <v>65</v>
      </c>
      <c r="C28" s="20">
        <f>VLOOKUP(B28,[2]Трансп!A$2:CP$32,21,FALSE)/1000</f>
        <v>5231.2110000000002</v>
      </c>
      <c r="D28" s="20">
        <f>VLOOKUP(B28,[2]Трансп!A$2:CP$32,25,FALSE)/1000</f>
        <v>1865.721</v>
      </c>
      <c r="E28" s="20">
        <f>VLOOKUP(B28,[2]Трансп!A$2:CP$32,28,FALSE)/1000</f>
        <v>1303.279</v>
      </c>
      <c r="F28" s="20">
        <f>VLOOKUP(B28,[2]Трансп!A$2:CP$32,19,FALSE)/1000</f>
        <v>2878.7620000000002</v>
      </c>
      <c r="G28" s="20">
        <f>VLOOKUP(B28,[2]Трансп!A$2:CP$32,23,FALSE)/1000</f>
        <v>896.26199999999994</v>
      </c>
      <c r="H28" s="20">
        <f>VLOOKUP(B28,[2]Трансп!A$2:CP$32,26,FALSE)/1000</f>
        <v>621.072</v>
      </c>
    </row>
    <row r="29" spans="1:13" x14ac:dyDescent="0.25">
      <c r="B29" t="s">
        <v>66</v>
      </c>
      <c r="C29" s="20">
        <f>VLOOKUP(B29,[2]Трансп!A$2:CP$32,21,FALSE)/1000</f>
        <v>1013.814</v>
      </c>
      <c r="D29" s="20">
        <f>VLOOKUP(B29,[2]Трансп!A$2:CP$32,25,FALSE)/1000</f>
        <v>317.39</v>
      </c>
      <c r="E29" s="20">
        <f>VLOOKUP(B29,[2]Трансп!A$2:CP$32,28,FALSE)/1000</f>
        <v>213.828</v>
      </c>
      <c r="F29" s="20">
        <f>VLOOKUP(B29,[2]Трансп!A$2:CP$32,19,FALSE)/1000</f>
        <v>804.74699999999996</v>
      </c>
      <c r="G29" s="20">
        <f>VLOOKUP(B29,[2]Трансп!A$2:CP$32,23,FALSE)/1000</f>
        <v>143.21100000000001</v>
      </c>
      <c r="H29" s="20">
        <f>VLOOKUP(B29,[2]Трансп!A$2:CP$32,26,FALSE)/1000</f>
        <v>95.477000000000004</v>
      </c>
    </row>
    <row r="30" spans="1:13" x14ac:dyDescent="0.25">
      <c r="B30" t="s">
        <v>67</v>
      </c>
      <c r="C30" s="20">
        <f>VLOOKUP(B30,[2]Трансп!A$2:CP$32,21,FALSE)/1000</f>
        <v>0</v>
      </c>
      <c r="D30" s="20">
        <f>VLOOKUP(B30,[2]Трансп!A$2:CP$32,25,FALSE)/1000</f>
        <v>0</v>
      </c>
      <c r="E30" s="20">
        <f>VLOOKUP(B30,[2]Трансп!A$2:CP$32,28,FALSE)/1000</f>
        <v>0</v>
      </c>
      <c r="F30" s="20">
        <f>VLOOKUP(B30,[2]Трансп!A$2:CP$32,19,FALSE)/1000</f>
        <v>0</v>
      </c>
      <c r="G30" s="20">
        <f>VLOOKUP(B30,[2]Трансп!A$2:CP$32,23,FALSE)/1000</f>
        <v>0</v>
      </c>
      <c r="H30" s="20">
        <f>VLOOKUP(B30,[2]Трансп!A$2:CP$32,26,FALSE)/1000</f>
        <v>0</v>
      </c>
    </row>
    <row r="31" spans="1:13" x14ac:dyDescent="0.25">
      <c r="B31" t="s">
        <v>68</v>
      </c>
      <c r="C31" s="20">
        <f>VLOOKUP(B31,[2]Трансп!A$2:CP$32,21,FALSE)/1000</f>
        <v>42.569839004999992</v>
      </c>
      <c r="D31" s="20">
        <f>VLOOKUP(B31,[2]Трансп!A$2:CP$32,25,FALSE)/1000</f>
        <v>15.928519474999998</v>
      </c>
      <c r="E31" s="20">
        <f>VLOOKUP(B31,[2]Трансп!A$2:CP$32,28,FALSE)/1000</f>
        <v>22.111326054999999</v>
      </c>
      <c r="F31" s="20">
        <f>VLOOKUP(B31,[2]Трансп!A$2:CP$32,19,FALSE)/1000</f>
        <v>25.785340195</v>
      </c>
      <c r="G31" s="20">
        <f>VLOOKUP(B31,[2]Трансп!A$2:CP$32,23,FALSE)/1000</f>
        <v>3.9649278850000012</v>
      </c>
      <c r="H31" s="20">
        <f>VLOOKUP(B31,[2]Трансп!A$2:CP$32,26,FALSE)/1000</f>
        <v>3.1152675750000012</v>
      </c>
    </row>
    <row r="32" spans="1:13" x14ac:dyDescent="0.25">
      <c r="B32" t="s">
        <v>69</v>
      </c>
      <c r="C32" s="20">
        <f>VLOOKUP(B32,[2]Трансп!A$2:CP$32,21,FALSE)/1000</f>
        <v>0</v>
      </c>
      <c r="D32" s="20">
        <f>VLOOKUP(B32,[2]Трансп!A$2:CP$32,25,FALSE)/1000</f>
        <v>0</v>
      </c>
      <c r="E32" s="20">
        <f>VLOOKUP(B32,[2]Трансп!A$2:CP$32,28,FALSE)/1000</f>
        <v>0</v>
      </c>
      <c r="F32" s="20">
        <f>VLOOKUP(B32,[2]Трансп!A$2:CP$32,19,FALSE)/1000</f>
        <v>0</v>
      </c>
      <c r="G32" s="20">
        <f>VLOOKUP(B32,[2]Трансп!A$2:CP$32,23,FALSE)/1000</f>
        <v>0</v>
      </c>
      <c r="H32" s="20">
        <f>VLOOKUP(B32,[2]Трансп!A$2:CP$32,26,FALSE)/1000</f>
        <v>0</v>
      </c>
    </row>
  </sheetData>
  <mergeCells count="6">
    <mergeCell ref="J2:J3"/>
    <mergeCell ref="A2:A3"/>
    <mergeCell ref="B2:B3"/>
    <mergeCell ref="C2:E2"/>
    <mergeCell ref="F2:H2"/>
    <mergeCell ref="I2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ECB22-4CAD-4C08-A45A-514168392EB8}">
  <sheetPr codeName="Лист7">
    <tabColor rgb="FFFFFF00"/>
  </sheetPr>
  <dimension ref="A1:M32"/>
  <sheetViews>
    <sheetView workbookViewId="0">
      <selection activeCell="N20" sqref="N20"/>
    </sheetView>
  </sheetViews>
  <sheetFormatPr defaultRowHeight="15" x14ac:dyDescent="0.25"/>
  <cols>
    <col min="2" max="2" width="50.7109375" customWidth="1"/>
    <col min="10" max="10" width="11" customWidth="1"/>
    <col min="11" max="11" width="15.7109375" style="63" customWidth="1"/>
  </cols>
  <sheetData>
    <row r="1" spans="1:13" x14ac:dyDescent="0.25">
      <c r="A1" t="s">
        <v>76</v>
      </c>
    </row>
    <row r="2" spans="1:13" x14ac:dyDescent="0.25">
      <c r="A2" s="102" t="s">
        <v>2</v>
      </c>
      <c r="B2" s="102" t="s">
        <v>0</v>
      </c>
      <c r="C2" s="104" t="s">
        <v>87</v>
      </c>
      <c r="D2" s="105"/>
      <c r="E2" s="106"/>
      <c r="F2" s="104" t="s">
        <v>77</v>
      </c>
      <c r="G2" s="105"/>
      <c r="H2" s="106"/>
      <c r="I2" s="102" t="s">
        <v>78</v>
      </c>
      <c r="J2" s="102" t="s">
        <v>79</v>
      </c>
      <c r="K2" s="66"/>
    </row>
    <row r="3" spans="1:13" ht="56.25" x14ac:dyDescent="0.25">
      <c r="A3" s="103"/>
      <c r="B3" s="103"/>
      <c r="C3" s="16" t="s">
        <v>80</v>
      </c>
      <c r="D3" s="1" t="s">
        <v>81</v>
      </c>
      <c r="E3" s="1" t="s">
        <v>82</v>
      </c>
      <c r="F3" s="17" t="s">
        <v>80</v>
      </c>
      <c r="G3" s="1" t="s">
        <v>81</v>
      </c>
      <c r="H3" s="1" t="s">
        <v>82</v>
      </c>
      <c r="I3" s="103"/>
      <c r="J3" s="103"/>
      <c r="K3" s="66"/>
    </row>
    <row r="4" spans="1:13" x14ac:dyDescent="0.25">
      <c r="A4" s="18">
        <v>1</v>
      </c>
      <c r="B4" s="69" t="s">
        <v>54</v>
      </c>
      <c r="C4" s="20">
        <f>VLOOKUP(B4,[2]Трансп!A$2:CP$32,21,FALSE)/1000</f>
        <v>9870.1756769999993</v>
      </c>
      <c r="D4" s="20">
        <f>VLOOKUP(B4,[2]Трансп!A$2:CP$32,25,FALSE)/1000</f>
        <v>2738.6257819999996</v>
      </c>
      <c r="E4" s="20">
        <f>VLOOKUP(B4,[2]Трансп!A$2:CP$32,28,FALSE)/1000</f>
        <v>2138.4216000000001</v>
      </c>
      <c r="F4" s="20">
        <f>VLOOKUP(B4,[2]Трансп!A$2:CP$32,19,FALSE)/1000</f>
        <v>6236.97</v>
      </c>
      <c r="G4" s="20">
        <f>VLOOKUP(B4,[2]Трансп!A$2:CP$32,23,FALSE)/1000</f>
        <v>1772.568</v>
      </c>
      <c r="H4" s="20">
        <f>VLOOKUP(B4,[2]Трансп!A$2:CP$32,26,FALSE)/1000</f>
        <v>1279.982</v>
      </c>
      <c r="I4" s="30">
        <f>(C4/F4-1)*100</f>
        <v>58.252736136296932</v>
      </c>
      <c r="J4" s="30">
        <f>(D4/G4-1)*100</f>
        <v>54.500463846803029</v>
      </c>
      <c r="K4" s="64">
        <v>4205271785</v>
      </c>
      <c r="M4" s="21"/>
    </row>
    <row r="5" spans="1:13" x14ac:dyDescent="0.25">
      <c r="A5" s="18">
        <v>2</v>
      </c>
      <c r="B5" s="69" t="s">
        <v>83</v>
      </c>
      <c r="C5" s="20">
        <f>VLOOKUP(B5,[2]Трансп!A$2:CP$32,21,FALSE)/1000</f>
        <v>5231.2110000000002</v>
      </c>
      <c r="D5" s="20">
        <f>VLOOKUP(B5,[2]Трансп!A$2:CP$32,25,FALSE)/1000</f>
        <v>1865.721</v>
      </c>
      <c r="E5" s="20">
        <f>VLOOKUP(B5,[2]Трансп!A$2:CP$32,28,FALSE)/1000</f>
        <v>1303.279</v>
      </c>
      <c r="F5" s="20">
        <f>VLOOKUP(B5,[2]Трансп!A$2:CP$32,19,FALSE)/1000</f>
        <v>2878.7620000000002</v>
      </c>
      <c r="G5" s="20">
        <f>VLOOKUP(B5,[2]Трансп!A$2:CP$32,23,FALSE)/1000</f>
        <v>896.26199999999994</v>
      </c>
      <c r="H5" s="20">
        <f>VLOOKUP(B5,[2]Трансп!A$2:CP$32,26,FALSE)/1000</f>
        <v>621.072</v>
      </c>
      <c r="I5" s="30">
        <f>(C5/F5-1)*100</f>
        <v>81.717384069957859</v>
      </c>
      <c r="J5" s="30">
        <f>(D5/G5-1)*100</f>
        <v>108.16691994082089</v>
      </c>
      <c r="K5" s="64" t="s">
        <v>146</v>
      </c>
    </row>
    <row r="6" spans="1:13" x14ac:dyDescent="0.25">
      <c r="A6" s="18">
        <v>3</v>
      </c>
      <c r="B6" s="72" t="s">
        <v>84</v>
      </c>
      <c r="C6" s="20">
        <f>VLOOKUP(B6,[2]Трансп!A$2:CP$32,21,FALSE)/1000</f>
        <v>2977.5680000000002</v>
      </c>
      <c r="D6" s="20">
        <f>VLOOKUP(B6,[2]Трансп!A$2:CP$32,25,FALSE)/1000</f>
        <v>2021.2940000000001</v>
      </c>
      <c r="E6" s="20">
        <f>VLOOKUP(B6,[2]Трансп!A$2:CP$32,28,FALSE)/1000</f>
        <v>1631.9179999999999</v>
      </c>
      <c r="F6" s="20">
        <f>VLOOKUP(B6,[2]Трансп!A$2:CP$32,19,FALSE)/1000</f>
        <v>2288.8560000000002</v>
      </c>
      <c r="G6" s="20">
        <f>VLOOKUP(B6,[2]Трансп!A$2:CP$32,23,FALSE)/1000</f>
        <v>1512.558</v>
      </c>
      <c r="H6" s="20">
        <f>VLOOKUP(B6,[2]Трансп!A$2:CP$32,26,FALSE)/1000</f>
        <v>1065.2239999999999</v>
      </c>
      <c r="I6" s="30">
        <f t="shared" ref="I6:I25" si="0">(C6/F6-1)*100</f>
        <v>30.089791581471271</v>
      </c>
      <c r="J6" s="30">
        <f t="shared" ref="J6:J25" si="1">(D6/G6-1)*100</f>
        <v>33.634148244232634</v>
      </c>
      <c r="K6" s="64" t="s">
        <v>150</v>
      </c>
    </row>
    <row r="7" spans="1:13" x14ac:dyDescent="0.25">
      <c r="A7" s="18">
        <v>4</v>
      </c>
      <c r="B7" s="69" t="s">
        <v>42</v>
      </c>
      <c r="C7" s="20">
        <f>VLOOKUP(B7,[2]Трансп!A$2:CP$32,21,FALSE)/1000</f>
        <v>2425.0859999999998</v>
      </c>
      <c r="D7" s="20">
        <f>VLOOKUP(B7,[2]Трансп!A$2:CP$32,25,FALSE)/1000</f>
        <v>1025.5429999999999</v>
      </c>
      <c r="E7" s="20">
        <f>VLOOKUP(B7,[2]Трансп!A$2:CP$32,28,FALSE)/1000</f>
        <v>750.61199999999997</v>
      </c>
      <c r="F7" s="20">
        <f>VLOOKUP(B7,[2]Трансп!A$2:CP$32,19,FALSE)/1000</f>
        <v>1702.7660000000001</v>
      </c>
      <c r="G7" s="20">
        <f>VLOOKUP(B7,[2]Трансп!A$2:CP$32,23,FALSE)/1000</f>
        <v>865.14099999999996</v>
      </c>
      <c r="H7" s="20">
        <f>VLOOKUP(B7,[2]Трансп!A$2:CP$32,26,FALSE)/1000</f>
        <v>631.47900000000004</v>
      </c>
      <c r="I7" s="30">
        <f t="shared" si="0"/>
        <v>42.420391292755411</v>
      </c>
      <c r="J7" s="30">
        <f t="shared" si="1"/>
        <v>18.540561596317829</v>
      </c>
      <c r="K7" s="64" t="s">
        <v>148</v>
      </c>
    </row>
    <row r="8" spans="1:13" x14ac:dyDescent="0.25">
      <c r="A8" s="18">
        <v>5</v>
      </c>
      <c r="B8" s="69" t="s">
        <v>45</v>
      </c>
      <c r="C8" s="20">
        <f>VLOOKUP(B8,[2]Трансп!A$2:CP$32,21,FALSE)/1000</f>
        <v>2368.723</v>
      </c>
      <c r="D8" s="20">
        <f>VLOOKUP(B8,[2]Трансп!A$2:CP$32,25,FALSE)/1000</f>
        <v>2245.614</v>
      </c>
      <c r="E8" s="20">
        <f>VLOOKUP(B8,[2]Трансп!A$2:CP$32,28,FALSE)/1000</f>
        <v>1757.7539999999999</v>
      </c>
      <c r="F8" s="20">
        <f>VLOOKUP(B8,[2]Трансп!A$2:CP$32,19,FALSE)/1000</f>
        <v>783.08600000000001</v>
      </c>
      <c r="G8" s="20">
        <f>VLOOKUP(B8,[2]Трансп!A$2:CP$32,23,FALSE)/1000</f>
        <v>682.17100000000005</v>
      </c>
      <c r="H8" s="20">
        <f>VLOOKUP(B8,[2]Трансп!A$2:CP$32,26,FALSE)/1000</f>
        <v>493.84100000000001</v>
      </c>
      <c r="I8" s="30">
        <f t="shared" si="0"/>
        <v>202.48567845677229</v>
      </c>
      <c r="J8" s="30">
        <f t="shared" si="1"/>
        <v>229.1863770227699</v>
      </c>
      <c r="K8" s="64">
        <v>5407973316</v>
      </c>
    </row>
    <row r="9" spans="1:13" x14ac:dyDescent="0.25">
      <c r="A9" s="18">
        <v>6</v>
      </c>
      <c r="B9" s="69" t="s">
        <v>60</v>
      </c>
      <c r="C9" s="20">
        <f>VLOOKUP(B9,[2]Трансп!A$2:CP$32,21,FALSE)/1000</f>
        <v>1979.02</v>
      </c>
      <c r="D9" s="20">
        <f>VLOOKUP(B9,[2]Трансп!A$2:CP$32,25,FALSE)/1000</f>
        <v>1655.144</v>
      </c>
      <c r="E9" s="20">
        <f>VLOOKUP(B9,[2]Трансп!A$2:CP$32,28,FALSE)/1000</f>
        <v>1253.212</v>
      </c>
      <c r="F9" s="20">
        <f>VLOOKUP(B9,[2]Трансп!A$2:CP$32,19,FALSE)/1000</f>
        <v>2989.61</v>
      </c>
      <c r="G9" s="20">
        <f>VLOOKUP(B9,[2]Трансп!A$2:CP$32,23,FALSE)/1000</f>
        <v>938.65499999999997</v>
      </c>
      <c r="H9" s="20">
        <f>VLOOKUP(B9,[2]Трансп!A$2:CP$32,26,FALSE)/1000</f>
        <v>642.19000000000005</v>
      </c>
      <c r="I9" s="30">
        <f t="shared" si="0"/>
        <v>-33.80340579540475</v>
      </c>
      <c r="J9" s="30">
        <f t="shared" si="1"/>
        <v>76.331452983257961</v>
      </c>
      <c r="K9" s="64">
        <v>7704784072</v>
      </c>
      <c r="L9" s="15"/>
    </row>
    <row r="10" spans="1:13" x14ac:dyDescent="0.25">
      <c r="A10" s="18">
        <v>7</v>
      </c>
      <c r="B10" s="69" t="s">
        <v>64</v>
      </c>
      <c r="C10" s="20">
        <f>VLOOKUP(B10,[2]Трансп!A$2:CP$32,21,FALSE)/1000</f>
        <v>1941.1010000000001</v>
      </c>
      <c r="D10" s="20">
        <f>VLOOKUP(B10,[2]Трансп!A$2:CP$32,25,FALSE)/1000</f>
        <v>592.48599999999999</v>
      </c>
      <c r="E10" s="20">
        <f>VLOOKUP(B10,[2]Трансп!A$2:CP$32,28,FALSE)/1000</f>
        <v>434.19400000000002</v>
      </c>
      <c r="F10" s="20">
        <f>VLOOKUP(B10,[2]Трансп!A$2:CP$32,19,FALSE)/1000</f>
        <v>1270.6780000000001</v>
      </c>
      <c r="G10" s="20">
        <f>VLOOKUP(B10,[2]Трансп!A$2:CP$32,23,FALSE)/1000</f>
        <v>383.35500000000002</v>
      </c>
      <c r="H10" s="20">
        <f>VLOOKUP(B10,[2]Трансп!A$2:CP$32,26,FALSE)/1000</f>
        <v>285.83699999999999</v>
      </c>
      <c r="I10" s="30">
        <f t="shared" si="0"/>
        <v>52.761045677976639</v>
      </c>
      <c r="J10" s="30">
        <f t="shared" si="1"/>
        <v>54.552829622673492</v>
      </c>
      <c r="K10" s="64">
        <v>5260271530</v>
      </c>
    </row>
    <row r="11" spans="1:13" x14ac:dyDescent="0.25">
      <c r="A11" s="18">
        <v>8</v>
      </c>
      <c r="B11" s="69" t="s">
        <v>48</v>
      </c>
      <c r="C11" s="20">
        <f>VLOOKUP(B11,[2]Трансп!A$2:CP$32,21,FALSE)/1000</f>
        <v>1654.4159999999999</v>
      </c>
      <c r="D11" s="33" t="s">
        <v>85</v>
      </c>
      <c r="E11" s="33" t="s">
        <v>85</v>
      </c>
      <c r="F11" s="20">
        <f>VLOOKUP(B11,[2]Трансп!A$2:CP$32,19,FALSE)/1000</f>
        <v>1536.768</v>
      </c>
      <c r="G11" s="20">
        <f>VLOOKUP(B11,[2]Трансп!A$2:CP$32,23,FALSE)/1000</f>
        <v>747</v>
      </c>
      <c r="H11" s="33" t="s">
        <v>85</v>
      </c>
      <c r="I11" s="30">
        <f t="shared" si="0"/>
        <v>7.6555472263867941</v>
      </c>
      <c r="J11" s="33" t="s">
        <v>85</v>
      </c>
      <c r="K11" s="64">
        <v>7733812126</v>
      </c>
    </row>
    <row r="12" spans="1:13" x14ac:dyDescent="0.25">
      <c r="A12" s="18">
        <v>9</v>
      </c>
      <c r="B12" s="69" t="s">
        <v>57</v>
      </c>
      <c r="C12" s="20">
        <f>VLOOKUP(B12,[2]Трансп!A$2:CP$32,21,FALSE)/1000</f>
        <v>1089.1989739999999</v>
      </c>
      <c r="D12" s="20">
        <f>VLOOKUP(B12,[2]Трансп!A$2:CP$32,25,FALSE)/1000</f>
        <v>374.13144799999998</v>
      </c>
      <c r="E12" s="20">
        <f>VLOOKUP(B12,[2]Трансп!A$2:CP$32,28,FALSE)/1000</f>
        <v>263.09390200000001</v>
      </c>
      <c r="F12" s="20">
        <f>VLOOKUP(B12,[2]Трансп!A$2:CP$32,19,FALSE)/1000</f>
        <v>207.953</v>
      </c>
      <c r="G12" s="20">
        <f>VLOOKUP(B12,[2]Трансп!A$2:CP$32,23,FALSE)/1000</f>
        <v>89.849000000000004</v>
      </c>
      <c r="H12" s="20">
        <f>VLOOKUP(B12,[2]Трансп!A$2:CP$32,26,FALSE)/1000</f>
        <v>64.441999999999993</v>
      </c>
      <c r="I12" s="30">
        <f t="shared" si="0"/>
        <v>423.77170514491252</v>
      </c>
      <c r="J12" s="30">
        <f t="shared" si="1"/>
        <v>316.40023595142958</v>
      </c>
      <c r="K12" s="64">
        <v>1659182700</v>
      </c>
      <c r="L12" s="15"/>
    </row>
    <row r="13" spans="1:13" x14ac:dyDescent="0.25">
      <c r="A13" s="18">
        <v>10</v>
      </c>
      <c r="B13" s="72" t="s">
        <v>55</v>
      </c>
      <c r="C13" s="20">
        <f>VLOOKUP(B13,[2]Трансп!A$2:CP$32,21,FALSE)/1000</f>
        <v>1025.796</v>
      </c>
      <c r="D13" s="20">
        <f>VLOOKUP(B13,[2]Трансп!A$2:CP$32,25,FALSE)/1000</f>
        <v>463.30900000000003</v>
      </c>
      <c r="E13" s="20">
        <f>VLOOKUP(B13,[2]Трансп!A$2:CP$32,28,FALSE)/1000</f>
        <v>353.67500000000001</v>
      </c>
      <c r="F13" s="20">
        <f>VLOOKUP(B13,[2]Трансп!A$2:CP$32,19,FALSE)/1000</f>
        <v>594.11300000000006</v>
      </c>
      <c r="G13" s="20">
        <f>VLOOKUP(B13,[2]Трансп!A$2:CP$32,23,FALSE)/1000</f>
        <v>186.458</v>
      </c>
      <c r="H13" s="20">
        <f>VLOOKUP(B13,[2]Трансп!A$2:CP$32,26,FALSE)/1000</f>
        <v>132.91</v>
      </c>
      <c r="I13" s="30">
        <f t="shared" si="0"/>
        <v>72.660083182828842</v>
      </c>
      <c r="J13" s="30">
        <f t="shared" si="1"/>
        <v>148.47901404069552</v>
      </c>
      <c r="K13" s="64">
        <v>5260355389</v>
      </c>
      <c r="L13" s="15"/>
    </row>
    <row r="14" spans="1:13" x14ac:dyDescent="0.25">
      <c r="A14" s="18">
        <v>11</v>
      </c>
      <c r="B14" s="69" t="s">
        <v>66</v>
      </c>
      <c r="C14" s="20">
        <f>VLOOKUP(B14,[2]Трансп!A$2:CP$32,21,FALSE)/1000</f>
        <v>1013.814</v>
      </c>
      <c r="D14" s="20">
        <f>VLOOKUP(B14,[2]Трансп!A$2:CP$32,25,FALSE)/1000</f>
        <v>317.39</v>
      </c>
      <c r="E14" s="20">
        <f>VLOOKUP(B14,[2]Трансп!A$2:CP$32,28,FALSE)/1000</f>
        <v>213.828</v>
      </c>
      <c r="F14" s="20">
        <f>VLOOKUP(B14,[2]Трансп!A$2:CP$32,19,FALSE)/1000</f>
        <v>804.74699999999996</v>
      </c>
      <c r="G14" s="20">
        <f>VLOOKUP(B14,[2]Трансп!A$2:CP$32,23,FALSE)/1000</f>
        <v>143.21100000000001</v>
      </c>
      <c r="H14" s="20">
        <f>VLOOKUP(B14,[2]Трансп!A$2:CP$32,26,FALSE)/1000</f>
        <v>95.477000000000004</v>
      </c>
      <c r="I14" s="30">
        <f t="shared" si="0"/>
        <v>25.97922079858639</v>
      </c>
      <c r="J14" s="30">
        <f t="shared" si="1"/>
        <v>121.62403725970768</v>
      </c>
      <c r="K14" s="64">
        <v>4205219217</v>
      </c>
      <c r="L14" s="15"/>
    </row>
    <row r="15" spans="1:13" x14ac:dyDescent="0.25">
      <c r="A15" s="18">
        <v>12</v>
      </c>
      <c r="B15" s="69" t="s">
        <v>59</v>
      </c>
      <c r="C15" s="20">
        <f>VLOOKUP(B15,[2]Трансп!A$2:CP$32,21,FALSE)/1000</f>
        <v>734.60199999999998</v>
      </c>
      <c r="D15" s="20">
        <f>VLOOKUP(B15,[2]Трансп!A$2:CP$32,25,FALSE)/1000</f>
        <v>262.33199999999999</v>
      </c>
      <c r="E15" s="20">
        <f>VLOOKUP(B15,[2]Трансп!A$2:CP$32,28,FALSE)/1000</f>
        <v>214.49299999999999</v>
      </c>
      <c r="F15" s="20">
        <f>VLOOKUP(B15,[2]Трансп!A$2:CP$32,19,FALSE)/1000</f>
        <v>755.91499999999996</v>
      </c>
      <c r="G15" s="20">
        <f>VLOOKUP(B15,[2]Трансп!A$2:CP$32,23,FALSE)/1000</f>
        <v>134.62100000000001</v>
      </c>
      <c r="H15" s="20">
        <f>VLOOKUP(B15,[2]Трансп!A$2:CP$32,26,FALSE)/1000</f>
        <v>100.941</v>
      </c>
      <c r="I15" s="30">
        <f t="shared" si="0"/>
        <v>-2.8194969011065996</v>
      </c>
      <c r="J15" s="30">
        <f t="shared" si="1"/>
        <v>94.867071259313178</v>
      </c>
      <c r="K15" s="64">
        <v>7724889891</v>
      </c>
    </row>
    <row r="16" spans="1:13" x14ac:dyDescent="0.25">
      <c r="A16" s="18">
        <v>13</v>
      </c>
      <c r="B16" s="69" t="s">
        <v>97</v>
      </c>
      <c r="C16" s="20">
        <f>VLOOKUP(B16,[2]Трансп!A$2:CP$32,21,FALSE)/1000</f>
        <v>494.4856381099961</v>
      </c>
      <c r="D16" s="20">
        <f>VLOOKUP(B16,[2]Трансп!A$2:CP$32,25,FALSE)/1000</f>
        <v>43.453321590000009</v>
      </c>
      <c r="E16" s="20">
        <f>VLOOKUP(B16,[2]Трансп!A$2:CP$32,28,FALSE)/1000</f>
        <v>35.4053787</v>
      </c>
      <c r="F16" s="20">
        <f>VLOOKUP(B16,[2]Трансп!A$2:CP$32,19,FALSE)/1000</f>
        <v>462.16399999999999</v>
      </c>
      <c r="G16" s="20">
        <f>VLOOKUP(B16,[2]Трансп!A$2:CP$32,23,FALSE)/1000</f>
        <v>4.0369999999999999</v>
      </c>
      <c r="H16" s="20">
        <f>VLOOKUP(B16,[2]Трансп!A$2:CP$32,26,FALSE)/1000</f>
        <v>2.7949999999999999</v>
      </c>
      <c r="I16" s="30">
        <f t="shared" si="0"/>
        <v>6.9935430085415806</v>
      </c>
      <c r="J16" s="30">
        <f t="shared" si="1"/>
        <v>976.37655660143685</v>
      </c>
      <c r="K16" s="64" t="s">
        <v>149</v>
      </c>
    </row>
    <row r="17" spans="1:13" x14ac:dyDescent="0.25">
      <c r="A17" s="18">
        <v>14</v>
      </c>
      <c r="B17" s="69" t="s">
        <v>51</v>
      </c>
      <c r="C17" s="20">
        <f>VLOOKUP(B17,[2]Трансп!A$2:CP$32,21,FALSE)/1000</f>
        <v>436.762</v>
      </c>
      <c r="D17" s="20">
        <f>VLOOKUP(B17,[2]Трансп!A$2:CP$32,25,FALSE)/1000</f>
        <v>310.66399999999999</v>
      </c>
      <c r="E17" s="20">
        <f>VLOOKUP(B17,[2]Трансп!A$2:CP$32,28,FALSE)/1000</f>
        <v>216.55699999999999</v>
      </c>
      <c r="F17" s="20">
        <f>VLOOKUP(B17,[2]Трансп!A$2:CP$32,19,FALSE)/1000</f>
        <v>178.364</v>
      </c>
      <c r="G17" s="20">
        <f>VLOOKUP(B17,[2]Трансп!A$2:CP$32,23,FALSE)/1000</f>
        <v>125.441</v>
      </c>
      <c r="H17" s="20">
        <f>VLOOKUP(B17,[2]Трансп!A$2:CP$32,26,FALSE)/1000</f>
        <v>78.647000000000006</v>
      </c>
      <c r="I17" s="30">
        <f t="shared" si="0"/>
        <v>144.87116234217666</v>
      </c>
      <c r="J17" s="30">
        <f t="shared" si="1"/>
        <v>147.65746446536619</v>
      </c>
      <c r="K17" s="64">
        <v>7704493556</v>
      </c>
    </row>
    <row r="18" spans="1:13" x14ac:dyDescent="0.25">
      <c r="A18" s="18">
        <v>15</v>
      </c>
      <c r="B18" s="69" t="s">
        <v>86</v>
      </c>
      <c r="C18" s="20">
        <f>VLOOKUP(B18,[2]Трансп!A$2:CP$32,21,FALSE)/1000</f>
        <v>407.012202</v>
      </c>
      <c r="D18" s="20">
        <f>VLOOKUP(B18,[2]Трансп!A$2:CP$32,25,FALSE)/1000</f>
        <v>327.77561399999996</v>
      </c>
      <c r="E18" s="20">
        <f>VLOOKUP(B18,[2]Трансп!A$2:CP$32,28,FALSE)/1000</f>
        <v>240.88228599999999</v>
      </c>
      <c r="F18" s="20">
        <f>VLOOKUP(B18,[2]Трансп!A$2:CP$32,19,FALSE)/1000</f>
        <v>44.164000000000001</v>
      </c>
      <c r="G18" s="20">
        <f>VLOOKUP(B18,[2]Трансп!A$2:CP$32,23,FALSE)/1000</f>
        <v>18.652000000000001</v>
      </c>
      <c r="H18" s="20">
        <f>VLOOKUP(B18,[2]Трансп!A$2:CP$32,26,FALSE)/1000</f>
        <v>11.507999999999999</v>
      </c>
      <c r="I18" s="30">
        <f t="shared" si="0"/>
        <v>821.5927044651753</v>
      </c>
      <c r="J18" s="30">
        <f t="shared" si="1"/>
        <v>1657.3215419257983</v>
      </c>
      <c r="K18" s="64" t="s">
        <v>145</v>
      </c>
      <c r="L18" s="15"/>
      <c r="M18" s="21"/>
    </row>
    <row r="19" spans="1:13" x14ac:dyDescent="0.25">
      <c r="A19" s="18">
        <v>16</v>
      </c>
      <c r="B19" s="69" t="s">
        <v>58</v>
      </c>
      <c r="C19" s="20">
        <f>VLOOKUP(B19,[2]Трансп!A$2:CP$32,21,FALSE)/1000</f>
        <v>237.07499999999999</v>
      </c>
      <c r="D19" s="20">
        <f>VLOOKUP(B19,[2]Трансп!A$2:CP$32,25,FALSE)/1000</f>
        <v>207.392</v>
      </c>
      <c r="E19" s="20">
        <f>VLOOKUP(B19,[2]Трансп!A$2:CP$32,28,FALSE)/1000</f>
        <v>137.56</v>
      </c>
      <c r="F19" s="20">
        <f>VLOOKUP(B19,[2]Трансп!A$2:CP$32,19,FALSE)/1000</f>
        <v>202.20099999999999</v>
      </c>
      <c r="G19" s="20">
        <f>VLOOKUP(B19,[2]Трансп!A$2:CP$32,23,FALSE)/1000</f>
        <v>152.01599999999999</v>
      </c>
      <c r="H19" s="20">
        <f>VLOOKUP(B19,[2]Трансп!A$2:CP$32,26,FALSE)/1000</f>
        <v>110.739</v>
      </c>
      <c r="I19" s="30">
        <f t="shared" si="0"/>
        <v>17.247194623171993</v>
      </c>
      <c r="J19" s="30">
        <f t="shared" si="1"/>
        <v>36.427744447952847</v>
      </c>
      <c r="K19" s="64">
        <v>5501246928</v>
      </c>
      <c r="L19" s="15"/>
      <c r="M19" s="21"/>
    </row>
    <row r="20" spans="1:13" x14ac:dyDescent="0.25">
      <c r="A20" s="18">
        <v>17</v>
      </c>
      <c r="B20" s="69" t="s">
        <v>61</v>
      </c>
      <c r="C20" s="20">
        <f>VLOOKUP(B20,[2]Трансп!A$2:CP$32,21,FALSE)/1000</f>
        <v>172.14599999999999</v>
      </c>
      <c r="D20" s="20">
        <f>VLOOKUP(B20,[2]Трансп!A$2:CP$32,25,FALSE)/1000</f>
        <v>91.754999999999995</v>
      </c>
      <c r="E20" s="20">
        <f>VLOOKUP(B20,[2]Трансп!A$2:CP$32,28,FALSE)/1000</f>
        <v>67.460999999999999</v>
      </c>
      <c r="F20" s="20">
        <f>VLOOKUP(B20,[2]Трансп!A$2:CP$32,19,FALSE)/1000</f>
        <v>140.804</v>
      </c>
      <c r="G20" s="20">
        <f>VLOOKUP(B20,[2]Трансп!A$2:CP$32,23,FALSE)/1000</f>
        <v>50.192</v>
      </c>
      <c r="H20" s="20">
        <f>VLOOKUP(B20,[2]Трансп!A$2:CP$32,26,FALSE)/1000</f>
        <v>37.073</v>
      </c>
      <c r="I20" s="30">
        <f t="shared" si="0"/>
        <v>22.25931081503365</v>
      </c>
      <c r="J20" s="30">
        <f t="shared" si="1"/>
        <v>82.808017213898609</v>
      </c>
      <c r="K20" s="63">
        <v>7705974076</v>
      </c>
      <c r="L20" s="15"/>
      <c r="M20" s="21"/>
    </row>
    <row r="21" spans="1:13" x14ac:dyDescent="0.25">
      <c r="A21" s="18">
        <v>18</v>
      </c>
      <c r="B21" s="72" t="s">
        <v>52</v>
      </c>
      <c r="C21" s="20">
        <f>VLOOKUP(B21,[2]Трансп!A$2:CP$32,21,FALSE)/1000</f>
        <v>133.37200000000001</v>
      </c>
      <c r="D21" s="20">
        <f>VLOOKUP(B21,[2]Трансп!A$2:CP$32,25,FALSE)/1000</f>
        <v>133.37200000000001</v>
      </c>
      <c r="E21" s="20">
        <f>VLOOKUP(B21,[2]Трансп!A$2:CP$32,28,FALSE)/1000</f>
        <v>106.03</v>
      </c>
      <c r="F21" s="20">
        <f>VLOOKUP(B21,[2]Трансп!A$2:CP$32,19,FALSE)/1000</f>
        <v>80.004999999999995</v>
      </c>
      <c r="G21" s="20">
        <f>VLOOKUP(B21,[2]Трансп!A$2:CP$32,23,FALSE)/1000</f>
        <v>80.004999999999995</v>
      </c>
      <c r="H21" s="20">
        <f>VLOOKUP(B21,[2]Трансп!A$2:CP$32,26,FALSE)/1000</f>
        <v>59.597999999999999</v>
      </c>
      <c r="I21" s="30">
        <f t="shared" si="0"/>
        <v>66.704580963689779</v>
      </c>
      <c r="J21" s="30">
        <f t="shared" si="1"/>
        <v>66.704580963689779</v>
      </c>
      <c r="K21" s="64">
        <v>3123449916</v>
      </c>
    </row>
    <row r="22" spans="1:13" x14ac:dyDescent="0.25">
      <c r="A22" s="18">
        <v>19</v>
      </c>
      <c r="B22" s="72" t="s">
        <v>50</v>
      </c>
      <c r="C22" s="20">
        <f>VLOOKUP(B22,[2]Трансп!A$2:CP$32,21,FALSE)/1000</f>
        <v>74.433000000000007</v>
      </c>
      <c r="D22" s="20">
        <f>VLOOKUP(B22,[2]Трансп!A$2:CP$32,25,FALSE)/1000</f>
        <v>22.65</v>
      </c>
      <c r="E22" s="20">
        <f>VLOOKUP(B22,[2]Трансп!A$2:CP$32,28,FALSE)/1000</f>
        <v>17.949000000000002</v>
      </c>
      <c r="F22" s="20">
        <f>VLOOKUP(B22,[2]Трансп!A$2:CP$32,19,FALSE)/1000</f>
        <v>63.716000000000001</v>
      </c>
      <c r="G22" s="20">
        <f>VLOOKUP(B22,[2]Трансп!A$2:CP$32,23,FALSE)/1000</f>
        <v>18.091000000000001</v>
      </c>
      <c r="H22" s="20">
        <f>VLOOKUP(B22,[2]Трансп!A$2:CP$32,26,FALSE)/1000</f>
        <v>13.846</v>
      </c>
      <c r="I22" s="30">
        <f>(C22/F22-1)*100</f>
        <v>16.819951032707657</v>
      </c>
      <c r="J22" s="30">
        <f>(D22/G22-1)*100</f>
        <v>25.20037587750814</v>
      </c>
      <c r="K22" s="64">
        <v>2465260220</v>
      </c>
    </row>
    <row r="23" spans="1:13" x14ac:dyDescent="0.25">
      <c r="A23" s="18">
        <v>20</v>
      </c>
      <c r="B23" s="69" t="s">
        <v>88</v>
      </c>
      <c r="C23" s="20">
        <f>VLOOKUP(B23,[2]Трансп!A$2:CP$32,21,FALSE)/1000</f>
        <v>73.813000000000002</v>
      </c>
      <c r="D23" s="20">
        <f>VLOOKUP(B23,[2]Трансп!A$2:CP$32,25,FALSE)/1000</f>
        <v>45.030999999999999</v>
      </c>
      <c r="E23" s="20">
        <f>VLOOKUP(B23,[2]Трансп!A$2:CP$32,28,FALSE)/1000</f>
        <v>37.893999999999998</v>
      </c>
      <c r="F23" s="20">
        <f>VLOOKUP(B23,[2]Трансп!A$2:CP$32,19,FALSE)/1000</f>
        <v>166.04300000000001</v>
      </c>
      <c r="G23" s="20">
        <f>VLOOKUP(B23,[2]Трансп!A$2:CP$32,23,FALSE)/1000</f>
        <v>35.317</v>
      </c>
      <c r="H23" s="20">
        <f>VLOOKUP(B23,[2]Трансп!A$2:CP$32,26,FALSE)/1000</f>
        <v>26.795999999999999</v>
      </c>
      <c r="I23" s="30">
        <f t="shared" si="0"/>
        <v>-55.545852580355692</v>
      </c>
      <c r="J23" s="30">
        <f t="shared" si="1"/>
        <v>27.505167483081806</v>
      </c>
      <c r="K23" s="64" t="s">
        <v>151</v>
      </c>
      <c r="M23" s="21"/>
    </row>
    <row r="24" spans="1:13" s="37" customFormat="1" x14ac:dyDescent="0.25">
      <c r="A24" s="95">
        <v>21</v>
      </c>
      <c r="B24" s="76" t="s">
        <v>68</v>
      </c>
      <c r="C24" s="33">
        <f>VLOOKUP(B24,[2]Трансп!A$2:CP$32,21,FALSE)/1000</f>
        <v>42.569839004999992</v>
      </c>
      <c r="D24" s="94">
        <v>22.111000000000001</v>
      </c>
      <c r="E24" s="94">
        <v>15.928000000000001</v>
      </c>
      <c r="F24" s="33">
        <f>VLOOKUP(B24,[2]Трансп!A$2:CP$32,19,FALSE)/1000</f>
        <v>25.785340195</v>
      </c>
      <c r="G24" s="33">
        <f>VLOOKUP(B24,[2]Трансп!A$2:CP$32,23,FALSE)/1000</f>
        <v>3.9649278850000012</v>
      </c>
      <c r="H24" s="33">
        <f>VLOOKUP(B24,[2]Трансп!A$2:CP$32,26,FALSE)/1000</f>
        <v>3.1152675750000012</v>
      </c>
      <c r="I24" s="75">
        <f t="shared" si="0"/>
        <v>65.093183502983806</v>
      </c>
      <c r="J24" s="75">
        <f t="shared" si="1"/>
        <v>457.6646194158962</v>
      </c>
      <c r="K24" s="96" t="s">
        <v>147</v>
      </c>
    </row>
    <row r="25" spans="1:13" x14ac:dyDescent="0.25">
      <c r="A25" s="18">
        <v>22</v>
      </c>
      <c r="B25" s="69" t="s">
        <v>46</v>
      </c>
      <c r="C25" s="20">
        <f>VLOOKUP(B25,[2]Трансп!A$2:CP$32,21,FALSE)/1000</f>
        <v>35.959000000000003</v>
      </c>
      <c r="D25" s="20">
        <f>VLOOKUP(B25,[2]Трансп!A$2:CP$32,25,FALSE)/1000</f>
        <v>0.38100000000000001</v>
      </c>
      <c r="E25" s="20">
        <f>VLOOKUP(B25,[2]Трансп!A$2:CP$32,28,FALSE)/1000</f>
        <v>0.38100000000000001</v>
      </c>
      <c r="F25" s="20">
        <f>VLOOKUP(B25,[2]Трансп!A$2:CP$32,19,FALSE)/1000</f>
        <v>41.945</v>
      </c>
      <c r="G25" s="20">
        <f>VLOOKUP(B25,[2]Трансп!A$2:CP$32,23,FALSE)/1000</f>
        <v>5.8680000000000003</v>
      </c>
      <c r="H25" s="20">
        <f>VLOOKUP(B25,[2]Трансп!A$2:CP$32,26,FALSE)/1000</f>
        <v>2.673</v>
      </c>
      <c r="I25" s="30">
        <f t="shared" si="0"/>
        <v>-14.271069257360825</v>
      </c>
      <c r="J25" s="30">
        <f t="shared" si="1"/>
        <v>-93.507157464212682</v>
      </c>
      <c r="K25" s="64">
        <v>5410059568</v>
      </c>
    </row>
    <row r="29" spans="1:13" x14ac:dyDescent="0.25">
      <c r="A29" s="27" t="s">
        <v>111</v>
      </c>
    </row>
    <row r="30" spans="1:13" x14ac:dyDescent="0.25">
      <c r="A30" s="27" t="s">
        <v>89</v>
      </c>
    </row>
    <row r="31" spans="1:13" x14ac:dyDescent="0.25">
      <c r="A31" s="27" t="s">
        <v>98</v>
      </c>
    </row>
    <row r="32" spans="1:13" x14ac:dyDescent="0.25">
      <c r="A32" s="43" t="s">
        <v>169</v>
      </c>
      <c r="B32" s="42"/>
      <c r="C32" s="44"/>
      <c r="D32" s="44"/>
      <c r="E32" s="44"/>
      <c r="F32" s="44"/>
      <c r="G32" s="44"/>
      <c r="H32" s="44"/>
      <c r="I32" s="45"/>
      <c r="J32" s="45"/>
    </row>
  </sheetData>
  <sortState xmlns:xlrd2="http://schemas.microsoft.com/office/spreadsheetml/2017/richdata2" ref="A4:J26">
    <sortCondition descending="1" ref="C4:C26"/>
  </sortState>
  <mergeCells count="6">
    <mergeCell ref="J2:J3"/>
    <mergeCell ref="A2:A3"/>
    <mergeCell ref="B2:B3"/>
    <mergeCell ref="C2:E2"/>
    <mergeCell ref="F2:H2"/>
    <mergeCell ref="I2:I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E189C-B7C5-4BF7-B38E-A71BBA0C53AA}">
  <sheetPr codeName="Лист8"/>
  <dimension ref="A1:R31"/>
  <sheetViews>
    <sheetView workbookViewId="0">
      <selection activeCell="M12" sqref="M12"/>
    </sheetView>
  </sheetViews>
  <sheetFormatPr defaultRowHeight="15" x14ac:dyDescent="0.25"/>
  <cols>
    <col min="2" max="2" width="50.7109375" customWidth="1"/>
    <col min="4" max="4" width="9.28515625" style="13" bestFit="1" customWidth="1"/>
    <col min="5" max="5" width="9.140625" style="13"/>
    <col min="7" max="8" width="9.140625" style="13"/>
  </cols>
  <sheetData>
    <row r="1" spans="1:10" x14ac:dyDescent="0.25">
      <c r="A1" t="s">
        <v>91</v>
      </c>
      <c r="C1" s="8"/>
      <c r="D1" s="31"/>
      <c r="E1" s="31"/>
      <c r="F1" s="8"/>
      <c r="G1" s="31"/>
      <c r="H1" s="31"/>
      <c r="I1" s="8"/>
    </row>
    <row r="2" spans="1:10" ht="90.75" customHeight="1" x14ac:dyDescent="0.25">
      <c r="A2" s="28" t="s">
        <v>73</v>
      </c>
      <c r="B2" s="28" t="s">
        <v>0</v>
      </c>
      <c r="C2" s="28" t="s">
        <v>92</v>
      </c>
      <c r="D2" s="32" t="s">
        <v>93</v>
      </c>
      <c r="E2" s="32" t="s">
        <v>118</v>
      </c>
      <c r="F2" s="28" t="s">
        <v>94</v>
      </c>
      <c r="G2" s="32" t="s">
        <v>95</v>
      </c>
      <c r="H2" s="32" t="s">
        <v>117</v>
      </c>
      <c r="I2" s="28" t="s">
        <v>90</v>
      </c>
    </row>
    <row r="3" spans="1:10" x14ac:dyDescent="0.25">
      <c r="A3" s="29">
        <v>1</v>
      </c>
      <c r="B3" s="19" t="s">
        <v>42</v>
      </c>
      <c r="C3" s="20">
        <f>VLOOKUP(B3,[2]Трансп!A$2:CP$32,32,FALSE)/1000</f>
        <v>3149.7930000000001</v>
      </c>
      <c r="D3" s="26">
        <f>VLOOKUP(B3,[2]Трансп!A$2:CP$32,37,FALSE)/100</f>
        <v>0.82531106012363353</v>
      </c>
      <c r="E3" s="26">
        <f>VLOOKUP(B3,[2]Трансп!A$2:CP$32,41,FALSE)</f>
        <v>0.27930286950000638</v>
      </c>
      <c r="F3" s="20">
        <f>VLOOKUP(B3,[2]Трансп!A$2:CP$32,30,FALSE)/1000</f>
        <v>2839.1060000000002</v>
      </c>
      <c r="G3" s="26">
        <f>VLOOKUP(B3,[2]Трансп!A$2:CP$32,35,FALSE)/100</f>
        <v>0.76554380146426371</v>
      </c>
      <c r="H3" s="26">
        <f>VLOOKUP(B3,[2]Трансп!A$2:CP$32,39,FALSE)</f>
        <v>0.27906252689451255</v>
      </c>
      <c r="I3" s="30"/>
      <c r="J3" s="21"/>
    </row>
    <row r="4" spans="1:10" x14ac:dyDescent="0.25">
      <c r="A4" s="29">
        <v>2</v>
      </c>
      <c r="B4" s="19" t="s">
        <v>43</v>
      </c>
      <c r="C4" s="20">
        <f>VLOOKUP(B4,[2]Трансп!A$2:CP$32,32,FALSE)/1000</f>
        <v>0</v>
      </c>
      <c r="D4" s="26">
        <f>VLOOKUP(B4,[2]Трансп!A$2:CP$32,37,FALSE)/100</f>
        <v>0</v>
      </c>
      <c r="E4" s="26">
        <f>VLOOKUP(B4,[2]Трансп!A$2:CP$32,41,FALSE)</f>
        <v>0</v>
      </c>
      <c r="F4" s="20">
        <f>VLOOKUP(B4,[2]Трансп!A$2:CP$32,30,FALSE)/1000</f>
        <v>0</v>
      </c>
      <c r="G4" s="26">
        <f>VLOOKUP(B4,[2]Трансп!A$2:CP$32,35,FALSE)/100</f>
        <v>0</v>
      </c>
      <c r="H4" s="26">
        <f>VLOOKUP(B4,[2]Трансп!A$2:CP$32,39,FALSE)</f>
        <v>0</v>
      </c>
      <c r="I4" s="30"/>
      <c r="J4" s="21"/>
    </row>
    <row r="5" spans="1:10" x14ac:dyDescent="0.25">
      <c r="A5" s="29"/>
      <c r="B5" s="19" t="s">
        <v>44</v>
      </c>
      <c r="C5" s="20">
        <f>VLOOKUP(B5,[2]Трансп!A$2:CP$32,32,FALSE)/1000</f>
        <v>0</v>
      </c>
      <c r="D5" s="26">
        <f>VLOOKUP(B5,[2]Трансп!A$2:CP$32,37,FALSE)/100</f>
        <v>0</v>
      </c>
      <c r="E5" s="26">
        <f>VLOOKUP(B5,[2]Трансп!A$2:CP$32,41,FALSE)</f>
        <v>0</v>
      </c>
      <c r="F5" s="20">
        <f>VLOOKUP(B5,[2]Трансп!A$2:CP$32,30,FALSE)/1000</f>
        <v>0</v>
      </c>
      <c r="G5" s="26">
        <f>VLOOKUP(B5,[2]Трансп!A$2:CP$32,35,FALSE)/100</f>
        <v>0</v>
      </c>
      <c r="H5" s="26">
        <f>VLOOKUP(B5,[2]Трансп!A$2:CP$32,39,FALSE)</f>
        <v>0</v>
      </c>
      <c r="I5" s="30"/>
      <c r="J5" s="21"/>
    </row>
    <row r="6" spans="1:10" x14ac:dyDescent="0.25">
      <c r="A6" s="29"/>
      <c r="B6" s="19" t="s">
        <v>45</v>
      </c>
      <c r="C6" s="20">
        <f>VLOOKUP(B6,[2]Трансп!A$2:CP$32,32,FALSE)/1000</f>
        <v>7272.7209999999995</v>
      </c>
      <c r="D6" s="26">
        <f>VLOOKUP(B6,[2]Трансп!A$2:CP$32,37,FALSE)/100</f>
        <v>0.01</v>
      </c>
      <c r="E6" s="26">
        <f>VLOOKUP(B6,[2]Трансп!A$2:CP$32,41,FALSE)</f>
        <v>0.25435941424637121</v>
      </c>
      <c r="F6" s="20">
        <f>VLOOKUP(B6,[2]Трансп!A$2:CP$32,30,FALSE)/1000</f>
        <v>2376.32141</v>
      </c>
      <c r="G6" s="26">
        <f>VLOOKUP(B6,[2]Трансп!A$2:CP$32,35,FALSE)/100</f>
        <v>0.01</v>
      </c>
      <c r="H6" s="26">
        <f>VLOOKUP(B6,[2]Трансп!A$2:CP$32,39,FALSE)</f>
        <v>0.16819999999999999</v>
      </c>
      <c r="I6" s="30"/>
      <c r="J6" s="21"/>
    </row>
    <row r="7" spans="1:10" x14ac:dyDescent="0.25">
      <c r="A7" s="29"/>
      <c r="B7" s="19" t="s">
        <v>46</v>
      </c>
      <c r="C7" s="20">
        <f>VLOOKUP(B7,[2]Трансп!A$2:CP$32,32,FALSE)/1000</f>
        <v>0</v>
      </c>
      <c r="D7" s="26">
        <f>VLOOKUP(B7,[2]Трансп!A$2:CP$32,37,FALSE)/100</f>
        <v>0</v>
      </c>
      <c r="E7" s="26">
        <f>VLOOKUP(B7,[2]Трансп!A$2:CP$32,41,FALSE)</f>
        <v>0</v>
      </c>
      <c r="F7" s="20">
        <f>VLOOKUP(B7,[2]Трансп!A$2:CP$32,30,FALSE)/1000</f>
        <v>37.651000000000003</v>
      </c>
      <c r="G7" s="26">
        <f>VLOOKUP(B7,[2]Трансп!A$2:CP$32,35,FALSE)/100</f>
        <v>0</v>
      </c>
      <c r="H7" s="26">
        <f>VLOOKUP(B7,[2]Трансп!A$2:CP$32,39,FALSE)</f>
        <v>0.99</v>
      </c>
      <c r="I7" s="30"/>
      <c r="J7" s="21"/>
    </row>
    <row r="8" spans="1:10" x14ac:dyDescent="0.25">
      <c r="A8" s="29"/>
      <c r="B8" s="19" t="s">
        <v>47</v>
      </c>
      <c r="C8" s="20">
        <f>VLOOKUP(B8,[2]Трансп!A$2:CP$32,32,FALSE)/1000</f>
        <v>0</v>
      </c>
      <c r="D8" s="26">
        <f>VLOOKUP(B8,[2]Трансп!A$2:CP$32,37,FALSE)/100</f>
        <v>0</v>
      </c>
      <c r="E8" s="26">
        <f>VLOOKUP(B8,[2]Трансп!A$2:CP$32,41,FALSE)</f>
        <v>0</v>
      </c>
      <c r="F8" s="20">
        <f>VLOOKUP(B8,[2]Трансп!A$2:CP$32,30,FALSE)/1000</f>
        <v>0</v>
      </c>
      <c r="G8" s="26">
        <f>VLOOKUP(B8,[2]Трансп!A$2:CP$32,35,FALSE)/100</f>
        <v>0</v>
      </c>
      <c r="H8" s="26">
        <f>VLOOKUP(B8,[2]Трансп!A$2:CP$32,39,FALSE)</f>
        <v>0</v>
      </c>
      <c r="I8" s="30"/>
      <c r="J8" s="21"/>
    </row>
    <row r="9" spans="1:10" x14ac:dyDescent="0.25">
      <c r="A9" s="29"/>
      <c r="B9" s="19" t="s">
        <v>48</v>
      </c>
      <c r="C9" s="20">
        <f>VLOOKUP(B9,[2]Трансп!A$2:CP$32,32,FALSE)/1000</f>
        <v>4562.7085999999999</v>
      </c>
      <c r="D9" s="26">
        <f>VLOOKUP(B9,[2]Трансп!A$2:CP$32,37,FALSE)/100</f>
        <v>0.01</v>
      </c>
      <c r="E9" s="26">
        <f>VLOOKUP(B9,[2]Трансп!A$2:CP$32,41,FALSE)</f>
        <v>0</v>
      </c>
      <c r="F9" s="20">
        <f>VLOOKUP(B9,[2]Трансп!A$2:CP$32,30,FALSE)/1000</f>
        <v>3114.2150000000001</v>
      </c>
      <c r="G9" s="26">
        <f>VLOOKUP(B9,[2]Трансп!A$2:CP$32,35,FALSE)/100</f>
        <v>1.0000311474962392E-2</v>
      </c>
      <c r="H9" s="26">
        <f>VLOOKUP(B9,[2]Трансп!A$2:CP$32,39,FALSE)</f>
        <v>0</v>
      </c>
      <c r="I9" s="30"/>
      <c r="J9" s="21"/>
    </row>
    <row r="10" spans="1:10" x14ac:dyDescent="0.25">
      <c r="A10" s="29"/>
      <c r="B10" s="19" t="s">
        <v>49</v>
      </c>
      <c r="C10" s="20">
        <f>VLOOKUP(B10,[2]Трансп!A$2:CP$32,32,FALSE)/1000</f>
        <v>4971.6019999999999</v>
      </c>
      <c r="D10" s="26">
        <v>1</v>
      </c>
      <c r="E10" s="26" t="s">
        <v>85</v>
      </c>
      <c r="F10" s="20">
        <f>VLOOKUP(B10,[2]Трансп!A$2:CP$32,30,FALSE)/1000</f>
        <v>3770.3870000000002</v>
      </c>
      <c r="G10" s="26">
        <v>1</v>
      </c>
      <c r="H10" s="26" t="s">
        <v>85</v>
      </c>
      <c r="I10" s="30"/>
      <c r="J10" s="21"/>
    </row>
    <row r="11" spans="1:10" x14ac:dyDescent="0.25">
      <c r="A11" s="29"/>
      <c r="B11" s="19" t="s">
        <v>50</v>
      </c>
      <c r="C11" s="20">
        <f>VLOOKUP(B11,[2]Трансп!A$2:CP$32,32,FALSE)/1000</f>
        <v>84.888000000000005</v>
      </c>
      <c r="D11" s="26">
        <f>VLOOKUP(B11,[2]Трансп!A$2:CP$32,37,FALSE)/100</f>
        <v>0.99690000000000001</v>
      </c>
      <c r="E11" s="26">
        <f>VLOOKUP(B11,[2]Трансп!A$2:CP$32,41,FALSE)</f>
        <v>8.5099999999999995E-2</v>
      </c>
      <c r="F11" s="20">
        <f>VLOOKUP(B11,[2]Трансп!A$2:CP$32,30,FALSE)/1000</f>
        <v>79.037000000000006</v>
      </c>
      <c r="G11" s="26">
        <f>VLOOKUP(B11,[2]Трансп!A$2:CP$32,35,FALSE)/100</f>
        <v>1</v>
      </c>
      <c r="H11" s="26">
        <f>VLOOKUP(B11,[2]Трансп!A$2:CP$32,39,FALSE)</f>
        <v>0.23400000000000001</v>
      </c>
      <c r="I11" s="30"/>
      <c r="J11" s="21"/>
    </row>
    <row r="12" spans="1:10" x14ac:dyDescent="0.25">
      <c r="A12" s="29"/>
      <c r="B12" s="19" t="s">
        <v>51</v>
      </c>
      <c r="C12" s="20">
        <f>VLOOKUP(B12,[2]Трансп!A$2:CP$32,32,FALSE)/1000</f>
        <v>919.96400000000006</v>
      </c>
      <c r="D12" s="26">
        <f>VLOOKUP(B12,[2]Трансп!A$2:CP$32,37,FALSE)/100</f>
        <v>1</v>
      </c>
      <c r="E12" s="26">
        <f>VLOOKUP(B12,[2]Трансп!A$2:CP$32,41,FALSE)</f>
        <v>0</v>
      </c>
      <c r="F12" s="20">
        <f>VLOOKUP(B12,[2]Трансп!A$2:CP$32,30,FALSE)/1000</f>
        <v>429.59500000000003</v>
      </c>
      <c r="G12" s="26">
        <f>VLOOKUP(B12,[2]Трансп!A$2:CP$32,35,FALSE)/100</f>
        <v>1</v>
      </c>
      <c r="H12" s="26">
        <f>VLOOKUP(B12,[2]Трансп!A$2:CP$32,39,FALSE)</f>
        <v>0</v>
      </c>
      <c r="I12" s="30"/>
      <c r="J12" s="21"/>
    </row>
    <row r="13" spans="1:10" x14ac:dyDescent="0.25">
      <c r="A13" s="29"/>
      <c r="B13" s="19" t="s">
        <v>52</v>
      </c>
      <c r="C13" s="20">
        <f>VLOOKUP(B13,[2]Трансп!A$2:CP$32,32,FALSE)/1000</f>
        <v>463.71300000000002</v>
      </c>
      <c r="D13" s="26">
        <f>VLOOKUP(B13,[2]Трансп!A$2:CP$32,37,FALSE)/100</f>
        <v>4.1149999999999997E-3</v>
      </c>
      <c r="E13" s="26">
        <f>VLOOKUP(B13,[2]Трансп!A$2:CP$32,41,FALSE)</f>
        <v>0</v>
      </c>
      <c r="F13" s="20">
        <f>VLOOKUP(B13,[2]Трансп!A$2:CP$32,30,FALSE)/1000</f>
        <v>429.82400000000001</v>
      </c>
      <c r="G13" s="26">
        <f>VLOOKUP(B13,[2]Трансп!A$2:CP$32,35,FALSE)/100</f>
        <v>0</v>
      </c>
      <c r="H13" s="26">
        <f>VLOOKUP(B13,[2]Трансп!A$2:CP$32,39,FALSE)</f>
        <v>0</v>
      </c>
      <c r="I13" s="30"/>
      <c r="J13" s="21"/>
    </row>
    <row r="14" spans="1:10" x14ac:dyDescent="0.25">
      <c r="A14" s="29"/>
      <c r="B14" s="23" t="s">
        <v>53</v>
      </c>
      <c r="C14" s="33">
        <f>VLOOKUP(B14,[2]Трансп!A$2:CP$32,32,FALSE)/1000</f>
        <v>167.58029662999999</v>
      </c>
      <c r="D14" s="34">
        <f>VLOOKUP(B14,[2]Трансп!A$2:CP$32,37,FALSE)</f>
        <v>1</v>
      </c>
      <c r="E14" s="34">
        <f>VLOOKUP(B14,[2]Трансп!A$2:CP$32,41,FALSE)/100</f>
        <v>0.2873</v>
      </c>
      <c r="F14" s="33">
        <f>VLOOKUP(B14,[2]Трансп!A$2:CP$32,30,FALSE)/1000</f>
        <v>75.081049999999991</v>
      </c>
      <c r="G14" s="34">
        <f>VLOOKUP(B14,[2]Трансп!A$2:CP$32,35,FALSE)</f>
        <v>0.45</v>
      </c>
      <c r="H14" s="34">
        <f>VLOOKUP(B14,[2]Трансп!A$2:CP$32,39,FALSE)/100</f>
        <v>0.28939999999999999</v>
      </c>
      <c r="I14" s="30"/>
      <c r="J14" s="21"/>
    </row>
    <row r="15" spans="1:10" x14ac:dyDescent="0.25">
      <c r="A15" s="29"/>
      <c r="B15" s="19" t="s">
        <v>54</v>
      </c>
      <c r="C15" s="20">
        <f>VLOOKUP(B15,[2]Трансп!A$2:CP$32,32,FALSE)/1000</f>
        <v>16355.977999999999</v>
      </c>
      <c r="D15" s="26">
        <f>VLOOKUP(B15,[2]Трансп!A$2:CP$32,37,FALSE)/100</f>
        <v>0.01</v>
      </c>
      <c r="E15" s="26">
        <f>VLOOKUP(B15,[2]Трансп!A$2:CP$32,41,FALSE)</f>
        <v>0.29394586496748143</v>
      </c>
      <c r="F15" s="20">
        <f>VLOOKUP(B15,[2]Трансп!A$2:CP$32,30,FALSE)/1000</f>
        <v>7026.3410000000003</v>
      </c>
      <c r="G15" s="26">
        <f>VLOOKUP(B15,[2]Трансп!A$2:CP$32,35,FALSE)/100</f>
        <v>0.01</v>
      </c>
      <c r="H15" s="26">
        <f>VLOOKUP(B15,[2]Трансп!A$2:CP$32,39,FALSE)</f>
        <v>0.2526755472710327</v>
      </c>
      <c r="I15" s="30"/>
      <c r="J15" s="21"/>
    </row>
    <row r="16" spans="1:10" x14ac:dyDescent="0.25">
      <c r="A16" s="29"/>
      <c r="B16" s="19" t="s">
        <v>55</v>
      </c>
      <c r="C16" s="20">
        <f>VLOOKUP(B16,[2]Трансп!A$2:CP$32,32,FALSE)/1000</f>
        <v>1286.847</v>
      </c>
      <c r="D16" s="26">
        <f>VLOOKUP(B16,[2]Трансп!A$2:CP$32,37,FALSE)/100</f>
        <v>0.01</v>
      </c>
      <c r="E16" s="26">
        <f>VLOOKUP(B16,[2]Трансп!A$2:CP$32,41,FALSE)</f>
        <v>0.11</v>
      </c>
      <c r="F16" s="20">
        <f>VLOOKUP(B16,[2]Трансп!A$2:CP$32,30,FALSE)/1000</f>
        <v>551.96699999999998</v>
      </c>
      <c r="G16" s="26">
        <f>VLOOKUP(B16,[2]Трансп!A$2:CP$32,35,FALSE)/100</f>
        <v>0.01</v>
      </c>
      <c r="H16" s="26">
        <f>VLOOKUP(B16,[2]Трансп!A$2:CP$32,39,FALSE)</f>
        <v>8.9300000000000004E-2</v>
      </c>
      <c r="I16" s="30"/>
      <c r="J16" s="21"/>
    </row>
    <row r="17" spans="1:18" x14ac:dyDescent="0.25">
      <c r="A17" s="29"/>
      <c r="B17" s="19" t="s">
        <v>56</v>
      </c>
      <c r="C17" s="20">
        <f>VLOOKUP(B17,[2]Трансп!A$2:CP$32,32,FALSE)/1000</f>
        <v>0</v>
      </c>
      <c r="D17" s="26">
        <f>VLOOKUP(B17,[2]Трансп!A$2:CP$32,37,FALSE)/100</f>
        <v>0</v>
      </c>
      <c r="E17" s="26">
        <f>VLOOKUP(B17,[2]Трансп!A$2:CP$32,41,FALSE)</f>
        <v>0</v>
      </c>
      <c r="F17" s="20">
        <f>VLOOKUP(B17,[2]Трансп!A$2:CP$32,30,FALSE)/1000</f>
        <v>0</v>
      </c>
      <c r="G17" s="26">
        <f>VLOOKUP(B17,[2]Трансп!A$2:CP$32,35,FALSE)/100</f>
        <v>0</v>
      </c>
      <c r="H17" s="26">
        <f>VLOOKUP(B17,[2]Трансп!A$2:CP$32,39,FALSE)</f>
        <v>0</v>
      </c>
      <c r="I17" s="30"/>
      <c r="J17" s="21"/>
    </row>
    <row r="18" spans="1:18" x14ac:dyDescent="0.25">
      <c r="A18" s="29"/>
      <c r="B18" s="19" t="s">
        <v>57</v>
      </c>
      <c r="C18" s="20">
        <f>VLOOKUP(B18,[2]Трансп!A$2:CP$32,32,FALSE)/1000</f>
        <v>884.83955200000003</v>
      </c>
      <c r="D18" s="26">
        <f>VLOOKUP(B18,[2]Трансп!A$2:CP$32,37,FALSE)/100</f>
        <v>1</v>
      </c>
      <c r="E18" s="26">
        <f>VLOOKUP(B18,[2]Трансп!A$2:CP$32,41,FALSE)/100</f>
        <v>0.19059999999999999</v>
      </c>
      <c r="F18" s="20">
        <f>VLOOKUP(B18,[2]Трансп!A$2:CP$32,30,FALSE)/1000</f>
        <v>252.53299999999999</v>
      </c>
      <c r="G18" s="26">
        <f>VLOOKUP(B18,[2]Трансп!A$2:CP$32,35,FALSE)/100</f>
        <v>1</v>
      </c>
      <c r="H18" s="26">
        <f>VLOOKUP(B18,[2]Трансп!A$2:CP$32,39,FALSE)/100</f>
        <v>0.19210000000000002</v>
      </c>
      <c r="I18" s="30"/>
      <c r="J18" s="21"/>
    </row>
    <row r="19" spans="1:18" x14ac:dyDescent="0.25">
      <c r="A19" s="29"/>
      <c r="B19" s="19" t="s">
        <v>58</v>
      </c>
      <c r="C19" s="20">
        <f>VLOOKUP(B19,[2]Трансп!A$2:CP$32,32,FALSE)/1000</f>
        <v>486.03899999999999</v>
      </c>
      <c r="D19" s="26">
        <f>VLOOKUP(B19,[2]Трансп!A$2:CP$32,37,FALSE)/100</f>
        <v>1</v>
      </c>
      <c r="E19" s="26">
        <f>VLOOKUP(B19,[2]Трансп!A$2:CP$32,41,FALSE)</f>
        <v>0</v>
      </c>
      <c r="F19" s="20">
        <f>VLOOKUP(B19,[2]Трансп!A$2:CP$32,30,FALSE)/1000</f>
        <v>510.41199999999998</v>
      </c>
      <c r="G19" s="26">
        <f>VLOOKUP(B19,[2]Трансп!A$2:CP$32,35,FALSE)/100</f>
        <v>1</v>
      </c>
      <c r="H19" s="26">
        <f>VLOOKUP(B19,[2]Трансп!A$2:CP$32,39,FALSE)</f>
        <v>0</v>
      </c>
      <c r="I19" s="30"/>
      <c r="J19" s="21"/>
    </row>
    <row r="20" spans="1:18" x14ac:dyDescent="0.25">
      <c r="A20" s="29"/>
      <c r="B20" s="19" t="s">
        <v>59</v>
      </c>
      <c r="C20" s="20">
        <f>VLOOKUP(B20,[2]Трансп!A$2:CP$32,32,FALSE)/1000</f>
        <v>1137.9749999999999</v>
      </c>
      <c r="D20" s="26">
        <f>VLOOKUP(B20,[2]Трансп!A$2:CP$32,37,FALSE)/100</f>
        <v>1</v>
      </c>
      <c r="E20" s="26">
        <f>VLOOKUP(B20,[2]Трансп!A$2:CP$32,41,FALSE)/100</f>
        <v>0.23499999999999999</v>
      </c>
      <c r="F20" s="20">
        <f>VLOOKUP(B20,[2]Трансп!A$2:CP$32,30,FALSE)/1000</f>
        <v>535.74699999999996</v>
      </c>
      <c r="G20" s="26">
        <f>VLOOKUP(B20,[2]Трансп!A$2:CP$32,35,FALSE)/100</f>
        <v>1</v>
      </c>
      <c r="H20" s="26">
        <f>VLOOKUP(B20,[2]Трансп!A$2:CP$32,39,FALSE)/100</f>
        <v>0.11900000000000001</v>
      </c>
      <c r="I20" s="30"/>
      <c r="J20" s="21"/>
    </row>
    <row r="21" spans="1:18" x14ac:dyDescent="0.25">
      <c r="A21" s="29"/>
      <c r="B21" s="19" t="s">
        <v>60</v>
      </c>
      <c r="C21" s="20">
        <f>VLOOKUP(B21,[2]Трансп!A$2:CP$32,32,FALSE)/1000</f>
        <v>6384.625</v>
      </c>
      <c r="D21" s="26">
        <f>VLOOKUP(B21,[2]Трансп!A$2:CP$32,37,FALSE)/100</f>
        <v>1</v>
      </c>
      <c r="E21" s="26">
        <f>VLOOKUP(B21,[2]Трансп!A$2:CP$32,41,FALSE)/100</f>
        <v>0.34899999999999998</v>
      </c>
      <c r="F21" s="20">
        <f>VLOOKUP(B21,[2]Трансп!A$2:CP$32,30,FALSE)/1000</f>
        <v>3906.88</v>
      </c>
      <c r="G21" s="26">
        <f>VLOOKUP(B21,[2]Трансп!A$2:CP$32,35,FALSE)/100</f>
        <v>1</v>
      </c>
      <c r="H21" s="26">
        <f>VLOOKUP(B21,[2]Трансп!A$2:CP$32,39,FALSE)/100</f>
        <v>0.217</v>
      </c>
      <c r="I21" s="30"/>
      <c r="J21" s="21"/>
    </row>
    <row r="22" spans="1:18" x14ac:dyDescent="0.25">
      <c r="A22" s="29"/>
      <c r="B22" s="19" t="s">
        <v>86</v>
      </c>
      <c r="C22" s="20">
        <f>VLOOKUP(B22,[2]Трансп!A$2:CP$32,32,FALSE)/1000</f>
        <v>834.66966000000002</v>
      </c>
      <c r="D22" s="26">
        <f>VLOOKUP(B22,[2]Трансп!A$2:CP$32,37,FALSE)/100</f>
        <v>9.2064552673620532E-3</v>
      </c>
      <c r="E22" s="26">
        <f>VLOOKUP(B22,[2]Трансп!A$2:CP$32,41,FALSE)</f>
        <v>0.26500000000000001</v>
      </c>
      <c r="F22" s="20">
        <f>VLOOKUP(B22,[2]Трансп!A$2:CP$32,30,FALSE)/1000</f>
        <v>100.30200000000001</v>
      </c>
      <c r="G22" s="26">
        <f>VLOOKUP(B22,[2]Трансп!A$2:CP$32,35,FALSE)/100</f>
        <v>9.9799999999999993E-3</v>
      </c>
      <c r="H22" s="26">
        <f>VLOOKUP(B22,[2]Трансп!A$2:CP$32,39,FALSE)</f>
        <v>0.11600000000000001</v>
      </c>
      <c r="I22" s="30"/>
      <c r="J22" s="21"/>
    </row>
    <row r="23" spans="1:18" x14ac:dyDescent="0.25">
      <c r="A23" s="29"/>
      <c r="B23" s="19" t="s">
        <v>61</v>
      </c>
      <c r="C23" s="20">
        <f>VLOOKUP(B23,[2]Трансп!A$2:CP$32,32,FALSE)/1000</f>
        <v>453.48099999999999</v>
      </c>
      <c r="D23" s="26">
        <f>VLOOKUP(B23,[2]Трансп!A$2:CP$32,37,FALSE)/100</f>
        <v>8.6999999999999994E-3</v>
      </c>
      <c r="E23" s="26">
        <f>VLOOKUP(B23,[2]Трансп!A$2:CP$32,41,FALSE)</f>
        <v>0</v>
      </c>
      <c r="F23" s="20">
        <f>VLOOKUP(B23,[2]Трансп!A$2:CP$32,30,FALSE)/1000</f>
        <v>259.37900000000002</v>
      </c>
      <c r="G23" s="26">
        <f>VLOOKUP(B23,[2]Трансп!A$2:CP$32,35,FALSE)/100</f>
        <v>8.8000000000000005E-3</v>
      </c>
      <c r="H23" s="26">
        <f>VLOOKUP(B23,[2]Трансп!A$2:CP$32,39,FALSE)</f>
        <v>0.06</v>
      </c>
      <c r="I23" s="30"/>
      <c r="J23" s="21"/>
    </row>
    <row r="24" spans="1:18" x14ac:dyDescent="0.25">
      <c r="A24" s="29"/>
      <c r="B24" s="23" t="s">
        <v>62</v>
      </c>
      <c r="C24" s="20">
        <f>VLOOKUP(B24,[2]Трансп!A$2:CP$32,32,FALSE)/1000</f>
        <v>0</v>
      </c>
      <c r="D24" s="26">
        <f>VLOOKUP(B24,[2]Трансп!A$2:CP$32,37,FALSE)/100</f>
        <v>0</v>
      </c>
      <c r="E24" s="26">
        <f>VLOOKUP(B24,[2]Трансп!A$2:CP$32,41,FALSE)</f>
        <v>0</v>
      </c>
      <c r="F24" s="20">
        <f>VLOOKUP(B24,[2]Трансп!A$2:CP$32,30,FALSE)/1000</f>
        <v>0</v>
      </c>
      <c r="G24" s="26">
        <f>VLOOKUP(B24,[2]Трансп!A$2:CP$32,35,FALSE)/100</f>
        <v>0</v>
      </c>
      <c r="H24" s="26">
        <f>VLOOKUP(B24,[2]Трансп!A$2:CP$32,39,FALSE)</f>
        <v>0</v>
      </c>
      <c r="I24" s="30"/>
      <c r="J24" s="21"/>
    </row>
    <row r="25" spans="1:18" x14ac:dyDescent="0.25">
      <c r="A25" s="29"/>
      <c r="B25" s="23" t="s">
        <v>63</v>
      </c>
      <c r="C25" s="20">
        <f>VLOOKUP(B25,[2]Трансп!A$2:CP$32,32,FALSE)/1000</f>
        <v>196.34195000000003</v>
      </c>
      <c r="D25" s="26">
        <f>VLOOKUP(B25,[2]Трансп!A$2:CP$32,37,FALSE)/100</f>
        <v>8.1354190454441654E-3</v>
      </c>
      <c r="E25" s="26">
        <f>VLOOKUP(B25,[2]Трансп!A$2:CP$32,41,FALSE)</f>
        <v>0.12506460700740341</v>
      </c>
      <c r="F25" s="20">
        <f>VLOOKUP(B25,[2]Трансп!A$2:CP$32,30,FALSE)/1000</f>
        <v>211.762</v>
      </c>
      <c r="G25" s="26">
        <f>VLOOKUP(B25,[2]Трансп!A$2:CP$32,35,FALSE)/100</f>
        <v>4.6050000000000006E-3</v>
      </c>
      <c r="H25" s="26">
        <f>VLOOKUP(B25,[2]Трансп!A$2:CP$32,39,FALSE)</f>
        <v>0.10100000000000001</v>
      </c>
      <c r="I25" s="30"/>
      <c r="J25" s="21"/>
    </row>
    <row r="26" spans="1:18" x14ac:dyDescent="0.25">
      <c r="B26" t="s">
        <v>64</v>
      </c>
      <c r="C26" s="20">
        <f>VLOOKUP(B26,[2]Трансп!A$2:CP$32,32,FALSE)/1000</f>
        <v>1532.56</v>
      </c>
      <c r="D26" s="26">
        <f>VLOOKUP(B26,[2]Трансп!A$2:CP$32,37,FALSE)/100</f>
        <v>0.61</v>
      </c>
      <c r="E26" s="26">
        <f>VLOOKUP(B26,[2]Трансп!A$2:CP$32,41,FALSE)/100</f>
        <v>0.56999999999999995</v>
      </c>
      <c r="F26" s="20">
        <f>VLOOKUP(B26,[2]Трансп!A$2:CP$32,30,FALSE)/1000</f>
        <v>1189.5429999999999</v>
      </c>
      <c r="G26" s="26">
        <f>VLOOKUP(B26,[2]Трансп!A$2:CP$32,35,FALSE)/100</f>
        <v>0.46</v>
      </c>
      <c r="H26" s="26">
        <f>VLOOKUP(B26,[2]Трансп!A$2:CP$32,39,FALSE)/100</f>
        <v>0.54</v>
      </c>
    </row>
    <row r="27" spans="1:18" x14ac:dyDescent="0.25">
      <c r="B27" t="s">
        <v>65</v>
      </c>
      <c r="C27" s="20">
        <f>VLOOKUP(B27,[2]Трансп!A$2:CP$32,32,FALSE)/1000</f>
        <v>5793.7740000000003</v>
      </c>
      <c r="D27" s="26">
        <v>0.9</v>
      </c>
      <c r="E27" s="26">
        <f>VLOOKUP(B27,[2]Трансп!A$2:CP$32,41,FALSE)</f>
        <v>0</v>
      </c>
      <c r="F27" s="20">
        <f>VLOOKUP(B27,[2]Трансп!A$2:CP$32,30,FALSE)/1000</f>
        <v>3188.6109999999999</v>
      </c>
      <c r="G27" s="26">
        <v>0.71</v>
      </c>
      <c r="H27" s="26">
        <f>VLOOKUP(B27,[2]Трансп!A$2:CP$32,39,FALSE)</f>
        <v>0</v>
      </c>
      <c r="M27">
        <v>5793.7740000000003</v>
      </c>
      <c r="N27">
        <v>0.9</v>
      </c>
      <c r="O27">
        <v>0</v>
      </c>
      <c r="P27">
        <v>3188.6109999999999</v>
      </c>
      <c r="Q27">
        <v>0.71</v>
      </c>
      <c r="R27">
        <v>0</v>
      </c>
    </row>
    <row r="28" spans="1:18" x14ac:dyDescent="0.25">
      <c r="B28" t="s">
        <v>66</v>
      </c>
      <c r="C28" s="20">
        <f>VLOOKUP(B28,[2]Трансп!A$2:CP$32,32,FALSE)/1000</f>
        <v>1020.123</v>
      </c>
      <c r="D28" s="26">
        <f>VLOOKUP(B28,[2]Трансп!A$2:CP$32,37,FALSE)/100</f>
        <v>0.39560000000000001</v>
      </c>
      <c r="E28" s="26">
        <f>VLOOKUP(B28,[2]Трансп!A$2:CP$32,41,FALSE)/100</f>
        <v>0.2505</v>
      </c>
      <c r="F28" s="20">
        <f>VLOOKUP(B28,[2]Трансп!A$2:CP$32,30,FALSE)/1000</f>
        <v>635.82500000000005</v>
      </c>
      <c r="G28" s="26">
        <f>VLOOKUP(B28,[2]Трансп!A$2:CP$32,35,FALSE)/100</f>
        <v>6.1699999999999998E-2</v>
      </c>
      <c r="H28" s="26">
        <f>VLOOKUP(B28,[2]Трансп!A$2:CP$32,39,FALSE)/100</f>
        <v>0.3795</v>
      </c>
    </row>
    <row r="29" spans="1:18" x14ac:dyDescent="0.25">
      <c r="B29" t="s">
        <v>67</v>
      </c>
      <c r="C29" s="20">
        <f>VLOOKUP(B29,[2]Трансп!A$2:CP$32,32,FALSE)/1000</f>
        <v>0</v>
      </c>
      <c r="D29" s="26">
        <f>VLOOKUP(B29,[2]Трансп!A$2:CP$32,37,FALSE)/100</f>
        <v>0</v>
      </c>
      <c r="E29" s="26">
        <f>VLOOKUP(B29,[2]Трансп!A$2:CP$32,41,FALSE)</f>
        <v>0</v>
      </c>
      <c r="F29" s="20">
        <f>VLOOKUP(B29,[2]Трансп!A$2:CP$32,30,FALSE)/1000</f>
        <v>0</v>
      </c>
      <c r="G29" s="26">
        <f>VLOOKUP(B29,[2]Трансп!A$2:CP$32,35,FALSE)/100</f>
        <v>0</v>
      </c>
      <c r="H29" s="26">
        <f>VLOOKUP(B29,[2]Трансп!A$2:CP$32,39,FALSE)</f>
        <v>0</v>
      </c>
    </row>
    <row r="30" spans="1:18" x14ac:dyDescent="0.25">
      <c r="B30" t="s">
        <v>68</v>
      </c>
      <c r="C30" s="20">
        <f>VLOOKUP(B30,[2]Трансп!A$2:CP$32,32,FALSE)/1000</f>
        <v>86.752285999999998</v>
      </c>
      <c r="D30" s="26">
        <f>VLOOKUP(B30,[2]Трансп!A$2:CP$32,37,FALSE)/100</f>
        <v>8.1952867501382046E-3</v>
      </c>
      <c r="E30" s="26">
        <f>VLOOKUP(B30,[2]Трансп!A$2:CP$32,41,FALSE)</f>
        <v>0</v>
      </c>
      <c r="F30" s="20">
        <f>VLOOKUP(B30,[2]Трансп!A$2:CP$32,30,FALSE)/1000</f>
        <v>24.185700000000001</v>
      </c>
      <c r="G30" s="26">
        <f>VLOOKUP(B30,[2]Трансп!A$2:CP$32,35,FALSE)/100</f>
        <v>3.5294409506443892E-3</v>
      </c>
      <c r="H30" s="26">
        <f>VLOOKUP(B30,[2]Трансп!A$2:CP$32,39,FALSE)</f>
        <v>0</v>
      </c>
    </row>
    <row r="31" spans="1:18" x14ac:dyDescent="0.25">
      <c r="B31" t="s">
        <v>69</v>
      </c>
      <c r="C31" s="20">
        <f>VLOOKUP(B31,[2]Трансп!A$2:CP$32,32,FALSE)/1000</f>
        <v>0</v>
      </c>
      <c r="D31" s="26">
        <f>VLOOKUP(B31,[2]Трансп!A$2:CP$32,37,FALSE)/100</f>
        <v>0</v>
      </c>
      <c r="E31" s="26">
        <f>VLOOKUP(B31,[2]Трансп!A$2:CP$32,41,FALSE)</f>
        <v>0</v>
      </c>
      <c r="F31" s="20">
        <f>VLOOKUP(B31,[2]Трансп!A$2:CP$32,30,FALSE)/1000</f>
        <v>0</v>
      </c>
      <c r="G31" s="26">
        <f>VLOOKUP(B31,[2]Трансп!A$2:CP$32,35,FALSE)/100</f>
        <v>0</v>
      </c>
      <c r="H31" s="26">
        <f>VLOOKUP(B31,[2]Трансп!A$2:CP$32,39,FALSE)</f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85A1D-2C5D-4105-9070-EE46FA765CFD}">
  <dimension ref="A1:AA24"/>
  <sheetViews>
    <sheetView workbookViewId="0">
      <selection activeCell="A2" sqref="A2:I24"/>
    </sheetView>
  </sheetViews>
  <sheetFormatPr defaultRowHeight="15" x14ac:dyDescent="0.25"/>
  <cols>
    <col min="2" max="2" width="50.7109375" customWidth="1"/>
    <col min="4" max="4" width="9.28515625" style="13" bestFit="1" customWidth="1"/>
    <col min="5" max="5" width="9.140625" style="13"/>
    <col min="7" max="8" width="9.140625" style="13"/>
    <col min="9" max="9" width="10.140625" bestFit="1" customWidth="1"/>
    <col min="10" max="10" width="15.7109375" style="63" customWidth="1"/>
  </cols>
  <sheetData>
    <row r="1" spans="1:27" x14ac:dyDescent="0.25">
      <c r="A1" t="s">
        <v>91</v>
      </c>
      <c r="C1" s="8"/>
      <c r="D1" s="31"/>
      <c r="E1" s="31"/>
      <c r="F1" s="8"/>
      <c r="G1" s="31"/>
      <c r="H1" s="31"/>
      <c r="I1" s="8"/>
    </row>
    <row r="2" spans="1:27" ht="87" customHeight="1" x14ac:dyDescent="0.25">
      <c r="A2" s="28" t="s">
        <v>73</v>
      </c>
      <c r="B2" s="28" t="s">
        <v>0</v>
      </c>
      <c r="C2" s="28" t="s">
        <v>92</v>
      </c>
      <c r="D2" s="32" t="s">
        <v>93</v>
      </c>
      <c r="E2" s="32" t="s">
        <v>118</v>
      </c>
      <c r="F2" s="28" t="s">
        <v>94</v>
      </c>
      <c r="G2" s="32" t="s">
        <v>95</v>
      </c>
      <c r="H2" s="32" t="s">
        <v>117</v>
      </c>
      <c r="I2" s="28" t="s">
        <v>90</v>
      </c>
    </row>
    <row r="3" spans="1:27" x14ac:dyDescent="0.25">
      <c r="A3" s="29">
        <v>1</v>
      </c>
      <c r="B3" s="69" t="s">
        <v>54</v>
      </c>
      <c r="C3" s="20">
        <f>VLOOKUP(B3,[2]Трансп!A$2:CP$32,32,FALSE)/1000</f>
        <v>16355.977999999999</v>
      </c>
      <c r="D3" s="20">
        <f>V3*100</f>
        <v>100</v>
      </c>
      <c r="E3" s="20">
        <f>W3*100</f>
        <v>29.394586496748143</v>
      </c>
      <c r="F3" s="20">
        <f>VLOOKUP(B3,[2]Трансп!A$2:CP$32,30,FALSE)/1000</f>
        <v>7026.3410000000003</v>
      </c>
      <c r="G3" s="20">
        <f>Z3*100</f>
        <v>100</v>
      </c>
      <c r="H3" s="20">
        <f>AA3*100</f>
        <v>25.267554727103271</v>
      </c>
      <c r="I3" s="30">
        <f>(C3/F3-1)*100</f>
        <v>132.78087414203208</v>
      </c>
      <c r="J3" s="64">
        <v>4205271785</v>
      </c>
      <c r="V3" s="26">
        <f>VLOOKUP(B3,[2]Трансп!A$2:CP$32,37,FALSE)</f>
        <v>1</v>
      </c>
      <c r="W3" s="26">
        <f>VLOOKUP(B3,[2]Трансп!A$2:CP$32,41,FALSE)</f>
        <v>0.29394586496748143</v>
      </c>
      <c r="Z3" s="26">
        <f>VLOOKUP(B3,[2]Трансп!A$2:CP$32,35,FALSE)</f>
        <v>1</v>
      </c>
      <c r="AA3" s="26">
        <f>VLOOKUP(B3,[2]Трансп!A$2:CP$32,39,FALSE)</f>
        <v>0.2526755472710327</v>
      </c>
    </row>
    <row r="4" spans="1:27" x14ac:dyDescent="0.25">
      <c r="A4" s="29">
        <v>2</v>
      </c>
      <c r="B4" s="69" t="s">
        <v>45</v>
      </c>
      <c r="C4" s="20">
        <f>VLOOKUP(B4,[2]Трансп!A$2:CP$32,32,FALSE)/1000</f>
        <v>7272.7209999999995</v>
      </c>
      <c r="D4" s="20">
        <f t="shared" ref="D4:D24" si="0">V4*100</f>
        <v>100</v>
      </c>
      <c r="E4" s="20">
        <f t="shared" ref="E4:E24" si="1">W4*100</f>
        <v>25.435941424637122</v>
      </c>
      <c r="F4" s="20">
        <f>VLOOKUP(B4,[2]Трансп!A$2:CP$32,30,FALSE)/1000</f>
        <v>2376.32141</v>
      </c>
      <c r="G4" s="20">
        <f t="shared" ref="G4:G24" si="2">Z4*100</f>
        <v>100</v>
      </c>
      <c r="H4" s="20">
        <f t="shared" ref="H4:H24" si="3">AA4*100</f>
        <v>16.82</v>
      </c>
      <c r="I4" s="30">
        <f>(C4/F4-1)*100</f>
        <v>206.04955076342134</v>
      </c>
      <c r="J4" s="64">
        <v>5407973316</v>
      </c>
      <c r="V4" s="26">
        <f>VLOOKUP(B4,[2]Трансп!A$2:CP$32,37,FALSE)</f>
        <v>1</v>
      </c>
      <c r="W4" s="26">
        <f>VLOOKUP(B4,[2]Трансп!A$2:CP$32,41,FALSE)</f>
        <v>0.25435941424637121</v>
      </c>
      <c r="Z4" s="26">
        <f>VLOOKUP(B4,[2]Трансп!A$2:CP$32,35,FALSE)</f>
        <v>1</v>
      </c>
      <c r="AA4" s="26">
        <f>VLOOKUP(B4,[2]Трансп!A$2:CP$32,39,FALSE)</f>
        <v>0.16819999999999999</v>
      </c>
    </row>
    <row r="5" spans="1:27" x14ac:dyDescent="0.25">
      <c r="A5" s="29">
        <v>3</v>
      </c>
      <c r="B5" s="69" t="s">
        <v>60</v>
      </c>
      <c r="C5" s="20">
        <f>VLOOKUP(B5,[2]Трансп!A$2:CP$32,32,FALSE)/1000</f>
        <v>6384.625</v>
      </c>
      <c r="D5" s="20">
        <f t="shared" si="0"/>
        <v>100</v>
      </c>
      <c r="E5" s="20">
        <f t="shared" si="1"/>
        <v>34.9</v>
      </c>
      <c r="F5" s="20">
        <f>VLOOKUP(B5,[2]Трансп!A$2:CP$32,30,FALSE)/1000</f>
        <v>3906.88</v>
      </c>
      <c r="G5" s="20">
        <f t="shared" si="2"/>
        <v>100</v>
      </c>
      <c r="H5" s="20">
        <f t="shared" si="3"/>
        <v>21.7</v>
      </c>
      <c r="I5" s="30">
        <f t="shared" ref="I5:I24" si="4">(C5/F5-1)*100</f>
        <v>63.420043615365707</v>
      </c>
      <c r="J5" s="64">
        <v>7704784072</v>
      </c>
      <c r="V5" s="26">
        <f>VLOOKUP(B5,[2]Трансп!A$2:CP$32,37,FALSE)/100</f>
        <v>1</v>
      </c>
      <c r="W5" s="26">
        <f>VLOOKUP(B5,[2]Трансп!A$2:CP$32,41,FALSE)/100</f>
        <v>0.34899999999999998</v>
      </c>
      <c r="Z5" s="26">
        <f>VLOOKUP(B5,[2]Трансп!A$2:CP$32,35,FALSE)/100</f>
        <v>1</v>
      </c>
      <c r="AA5" s="26">
        <f>VLOOKUP(B5,[2]Трансп!A$2:CP$32,39,FALSE)/100</f>
        <v>0.217</v>
      </c>
    </row>
    <row r="6" spans="1:27" x14ac:dyDescent="0.25">
      <c r="A6" s="29">
        <v>4</v>
      </c>
      <c r="B6" s="69" t="s">
        <v>65</v>
      </c>
      <c r="C6" s="20">
        <f>VLOOKUP(B6,[2]Трансп!A$2:CP$32,32,FALSE)/1000</f>
        <v>5793.7740000000003</v>
      </c>
      <c r="D6" s="20">
        <f t="shared" si="0"/>
        <v>90</v>
      </c>
      <c r="E6" s="20" t="s">
        <v>85</v>
      </c>
      <c r="F6" s="33">
        <f>VLOOKUP(B6,[2]Трансп!A$2:CP$32,30,FALSE)/1000</f>
        <v>3188.6109999999999</v>
      </c>
      <c r="G6" s="20">
        <f t="shared" si="2"/>
        <v>71</v>
      </c>
      <c r="H6" s="20" t="s">
        <v>85</v>
      </c>
      <c r="I6" s="30">
        <f t="shared" si="4"/>
        <v>81.702126725398628</v>
      </c>
      <c r="J6" s="64" t="s">
        <v>146</v>
      </c>
      <c r="V6" s="34">
        <v>0.9</v>
      </c>
      <c r="W6" s="34" t="s">
        <v>85</v>
      </c>
      <c r="Z6" s="34">
        <v>0.71</v>
      </c>
      <c r="AA6" s="34" t="s">
        <v>85</v>
      </c>
    </row>
    <row r="7" spans="1:27" x14ac:dyDescent="0.25">
      <c r="A7" s="29">
        <v>5</v>
      </c>
      <c r="B7" s="69" t="s">
        <v>49</v>
      </c>
      <c r="C7" s="20">
        <f>VLOOKUP(B7,[2]Трансп!A$2:CP$32,32,FALSE)/1000</f>
        <v>4971.6019999999999</v>
      </c>
      <c r="D7" s="20">
        <f t="shared" si="0"/>
        <v>100</v>
      </c>
      <c r="E7" s="20" t="s">
        <v>85</v>
      </c>
      <c r="F7" s="20">
        <f>VLOOKUP(B7,[2]Трансп!A$2:CP$32,30,FALSE)/1000</f>
        <v>3770.3870000000002</v>
      </c>
      <c r="G7" s="20">
        <f t="shared" si="2"/>
        <v>100</v>
      </c>
      <c r="H7" s="20" t="s">
        <v>85</v>
      </c>
      <c r="I7" s="30">
        <f t="shared" si="4"/>
        <v>31.859196416707334</v>
      </c>
      <c r="J7" s="64" t="s">
        <v>150</v>
      </c>
      <c r="V7" s="26">
        <v>1</v>
      </c>
      <c r="W7" s="26" t="s">
        <v>85</v>
      </c>
      <c r="Z7" s="26">
        <v>1</v>
      </c>
      <c r="AA7" s="26" t="s">
        <v>85</v>
      </c>
    </row>
    <row r="8" spans="1:27" x14ac:dyDescent="0.25">
      <c r="A8" s="29">
        <v>6</v>
      </c>
      <c r="B8" s="69" t="s">
        <v>48</v>
      </c>
      <c r="C8" s="20">
        <f>VLOOKUP(B8,[2]Трансп!A$2:CP$32,32,FALSE)/1000</f>
        <v>4562.7085999999999</v>
      </c>
      <c r="D8" s="20">
        <f t="shared" si="0"/>
        <v>100</v>
      </c>
      <c r="E8" s="20" t="s">
        <v>85</v>
      </c>
      <c r="F8" s="20">
        <f>VLOOKUP(B8,[2]Трансп!A$2:CP$32,30,FALSE)/1000</f>
        <v>3114.2150000000001</v>
      </c>
      <c r="G8" s="20">
        <f t="shared" si="2"/>
        <v>100.0031147496239</v>
      </c>
      <c r="H8" s="20" t="s">
        <v>85</v>
      </c>
      <c r="I8" s="30">
        <f t="shared" si="4"/>
        <v>46.512318513654314</v>
      </c>
      <c r="J8" s="64">
        <v>7733812126</v>
      </c>
      <c r="V8" s="26">
        <f>VLOOKUP(B8,[2]Трансп!A$2:CP$32,37,FALSE)</f>
        <v>1</v>
      </c>
      <c r="W8" s="26" t="s">
        <v>85</v>
      </c>
      <c r="Z8" s="26">
        <f>VLOOKUP(B8,[2]Трансп!A$2:CP$32,35,FALSE)</f>
        <v>1.0000311474962391</v>
      </c>
      <c r="AA8" s="26" t="s">
        <v>85</v>
      </c>
    </row>
    <row r="9" spans="1:27" x14ac:dyDescent="0.25">
      <c r="A9" s="29">
        <v>7</v>
      </c>
      <c r="B9" s="69" t="s">
        <v>42</v>
      </c>
      <c r="C9" s="20">
        <f>VLOOKUP(B9,[2]Трансп!A$2:CP$32,32,FALSE)/1000</f>
        <v>3149.7930000000001</v>
      </c>
      <c r="D9" s="20">
        <f t="shared" si="0"/>
        <v>82.531106012363352</v>
      </c>
      <c r="E9" s="20">
        <f t="shared" si="1"/>
        <v>27.930286950000639</v>
      </c>
      <c r="F9" s="20">
        <f>VLOOKUP(B9,[2]Трансп!A$2:CP$32,30,FALSE)/1000</f>
        <v>2839.1060000000002</v>
      </c>
      <c r="G9" s="20">
        <f t="shared" si="2"/>
        <v>76.554380146426368</v>
      </c>
      <c r="H9" s="20">
        <f t="shared" si="3"/>
        <v>27.906252689451254</v>
      </c>
      <c r="I9" s="30">
        <f t="shared" si="4"/>
        <v>10.943127871942782</v>
      </c>
      <c r="J9" s="64" t="s">
        <v>148</v>
      </c>
      <c r="V9" s="26">
        <f>VLOOKUP(B9,[2]Трансп!A$2:CP$32,37,FALSE)/100</f>
        <v>0.82531106012363353</v>
      </c>
      <c r="W9" s="26">
        <f>VLOOKUP(B9,[2]Трансп!A$2:CP$32,41,FALSE)</f>
        <v>0.27930286950000638</v>
      </c>
      <c r="Z9" s="26">
        <f>VLOOKUP(B9,[2]Трансп!A$2:CP$32,35,FALSE)/100</f>
        <v>0.76554380146426371</v>
      </c>
      <c r="AA9" s="26">
        <f>VLOOKUP(B9,[2]Трансп!A$2:CP$32,39,FALSE)</f>
        <v>0.27906252689451255</v>
      </c>
    </row>
    <row r="10" spans="1:27" x14ac:dyDescent="0.25">
      <c r="A10" s="29">
        <v>8</v>
      </c>
      <c r="B10" s="69" t="s">
        <v>64</v>
      </c>
      <c r="C10" s="20">
        <f>VLOOKUP(B10,[2]Трансп!A$2:CP$32,32,FALSE)/1000</f>
        <v>1532.56</v>
      </c>
      <c r="D10" s="20">
        <f t="shared" si="0"/>
        <v>61</v>
      </c>
      <c r="E10" s="20">
        <f t="shared" si="1"/>
        <v>56.999999999999993</v>
      </c>
      <c r="F10" s="20">
        <f>VLOOKUP(B10,[2]Трансп!A$2:CP$32,30,FALSE)/1000</f>
        <v>1189.5429999999999</v>
      </c>
      <c r="G10" s="20">
        <f t="shared" si="2"/>
        <v>46</v>
      </c>
      <c r="H10" s="20">
        <f t="shared" si="3"/>
        <v>54</v>
      </c>
      <c r="I10" s="30">
        <f t="shared" si="4"/>
        <v>28.836031988755352</v>
      </c>
      <c r="J10" s="64">
        <v>5260271530</v>
      </c>
      <c r="V10" s="26">
        <f>VLOOKUP(B10,[2]Трансп!A$2:CP$32,37,FALSE)/100</f>
        <v>0.61</v>
      </c>
      <c r="W10" s="26">
        <f>VLOOKUP(B10,[2]Трансп!A$2:CP$32,41,FALSE)/100</f>
        <v>0.56999999999999995</v>
      </c>
      <c r="Z10" s="26">
        <f>VLOOKUP(B10,[2]Трансп!A$2:CP$32,35,FALSE)/100</f>
        <v>0.46</v>
      </c>
      <c r="AA10" s="26">
        <f>VLOOKUP(B10,[2]Трансп!A$2:CP$32,39,FALSE)/100</f>
        <v>0.54</v>
      </c>
    </row>
    <row r="11" spans="1:27" x14ac:dyDescent="0.25">
      <c r="A11" s="29">
        <v>9</v>
      </c>
      <c r="B11" s="69" t="s">
        <v>55</v>
      </c>
      <c r="C11" s="20">
        <f>VLOOKUP(B11,[2]Трансп!A$2:CP$32,32,FALSE)/1000</f>
        <v>1286.847</v>
      </c>
      <c r="D11" s="20">
        <f t="shared" si="0"/>
        <v>1</v>
      </c>
      <c r="E11" s="20">
        <f t="shared" si="1"/>
        <v>11</v>
      </c>
      <c r="F11" s="20">
        <f>VLOOKUP(B11,[2]Трансп!A$2:CP$32,30,FALSE)/1000</f>
        <v>551.96699999999998</v>
      </c>
      <c r="G11" s="20">
        <f t="shared" si="2"/>
        <v>1</v>
      </c>
      <c r="H11" s="20">
        <f t="shared" si="3"/>
        <v>8.93</v>
      </c>
      <c r="I11" s="30">
        <f t="shared" si="4"/>
        <v>133.13839414312812</v>
      </c>
      <c r="J11" s="64">
        <v>5260355389</v>
      </c>
      <c r="V11" s="26">
        <f>VLOOKUP(B11,[2]Трансп!A$2:CP$32,37,FALSE)/100</f>
        <v>0.01</v>
      </c>
      <c r="W11" s="26">
        <f>VLOOKUP(B11,[2]Трансп!A$2:CP$32,41,FALSE)</f>
        <v>0.11</v>
      </c>
      <c r="Z11" s="26">
        <f>VLOOKUP(B11,[2]Трансп!A$2:CP$32,35,FALSE)/100</f>
        <v>0.01</v>
      </c>
      <c r="AA11" s="26">
        <f>VLOOKUP(B11,[2]Трансп!A$2:CP$32,39,FALSE)</f>
        <v>8.9300000000000004E-2</v>
      </c>
    </row>
    <row r="12" spans="1:27" x14ac:dyDescent="0.25">
      <c r="A12" s="29">
        <v>10</v>
      </c>
      <c r="B12" s="69" t="s">
        <v>59</v>
      </c>
      <c r="C12" s="20">
        <f>VLOOKUP(B12,[2]Трансп!A$2:CP$32,32,FALSE)/1000</f>
        <v>1137.9749999999999</v>
      </c>
      <c r="D12" s="20">
        <f t="shared" si="0"/>
        <v>100</v>
      </c>
      <c r="E12" s="20">
        <f t="shared" si="1"/>
        <v>23.5</v>
      </c>
      <c r="F12" s="20">
        <f>VLOOKUP(B12,[2]Трансп!A$2:CP$32,30,FALSE)/1000</f>
        <v>535.74699999999996</v>
      </c>
      <c r="G12" s="20">
        <f t="shared" si="2"/>
        <v>100</v>
      </c>
      <c r="H12" s="20">
        <f t="shared" si="3"/>
        <v>11.9</v>
      </c>
      <c r="I12" s="30">
        <f t="shared" si="4"/>
        <v>112.40902888863586</v>
      </c>
      <c r="J12" s="64">
        <v>7724889891</v>
      </c>
      <c r="V12" s="26">
        <f>VLOOKUP(B12,[2]Трансп!A$2:CP$32,37,FALSE)/100</f>
        <v>1</v>
      </c>
      <c r="W12" s="26">
        <f>VLOOKUP(B12,[2]Трансп!A$2:CP$32,41,FALSE)/100</f>
        <v>0.23499999999999999</v>
      </c>
      <c r="Z12" s="26">
        <f>VLOOKUP(B12,[2]Трансп!A$2:CP$32,35,FALSE)/100</f>
        <v>1</v>
      </c>
      <c r="AA12" s="26">
        <f>VLOOKUP(B12,[2]Трансп!A$2:CP$32,39,FALSE)/100</f>
        <v>0.11900000000000001</v>
      </c>
    </row>
    <row r="13" spans="1:27" x14ac:dyDescent="0.25">
      <c r="A13" s="29">
        <v>11</v>
      </c>
      <c r="B13" s="69" t="s">
        <v>66</v>
      </c>
      <c r="C13" s="20">
        <f>VLOOKUP(B13,[2]Трансп!A$2:CP$32,32,FALSE)/1000</f>
        <v>1020.123</v>
      </c>
      <c r="D13" s="20">
        <f t="shared" si="0"/>
        <v>39.56</v>
      </c>
      <c r="E13" s="20">
        <f t="shared" si="1"/>
        <v>25.05</v>
      </c>
      <c r="F13" s="20">
        <f>VLOOKUP(B13,[2]Трансп!A$2:CP$32,30,FALSE)/1000</f>
        <v>635.82500000000005</v>
      </c>
      <c r="G13" s="20">
        <f t="shared" si="2"/>
        <v>6.17</v>
      </c>
      <c r="H13" s="20">
        <f t="shared" si="3"/>
        <v>37.950000000000003</v>
      </c>
      <c r="I13" s="30">
        <f t="shared" si="4"/>
        <v>60.440844572012729</v>
      </c>
      <c r="J13" s="64">
        <v>4205219217</v>
      </c>
      <c r="V13" s="26">
        <f>VLOOKUP(B13,[2]Трансп!A$2:CP$32,37,FALSE)/100</f>
        <v>0.39560000000000001</v>
      </c>
      <c r="W13" s="26">
        <f>VLOOKUP(B13,[2]Трансп!A$2:CP$32,41,FALSE)/100</f>
        <v>0.2505</v>
      </c>
      <c r="Z13" s="26">
        <f>VLOOKUP(B13,[2]Трансп!A$2:CP$32,35,FALSE)/100</f>
        <v>6.1699999999999998E-2</v>
      </c>
      <c r="AA13" s="26">
        <f>VLOOKUP(B13,[2]Трансп!A$2:CP$32,39,FALSE)/100</f>
        <v>0.3795</v>
      </c>
    </row>
    <row r="14" spans="1:27" x14ac:dyDescent="0.25">
      <c r="A14" s="29">
        <v>12</v>
      </c>
      <c r="B14" s="69" t="s">
        <v>51</v>
      </c>
      <c r="C14" s="20">
        <f>VLOOKUP(B14,[2]Трансп!A$2:CP$32,32,FALSE)/1000</f>
        <v>919.96400000000006</v>
      </c>
      <c r="D14" s="20">
        <f t="shared" si="0"/>
        <v>100</v>
      </c>
      <c r="E14" s="20" t="s">
        <v>85</v>
      </c>
      <c r="F14" s="20">
        <f>VLOOKUP(B14,[2]Трансп!A$2:CP$32,30,FALSE)/1000</f>
        <v>429.59500000000003</v>
      </c>
      <c r="G14" s="20">
        <f t="shared" si="2"/>
        <v>100</v>
      </c>
      <c r="H14" s="20" t="s">
        <v>85</v>
      </c>
      <c r="I14" s="30">
        <f t="shared" si="4"/>
        <v>114.14681269567848</v>
      </c>
      <c r="J14" s="64">
        <v>7704493556</v>
      </c>
      <c r="V14" s="26">
        <f>VLOOKUP(B14,[2]Трансп!A$2:CP$32,37,FALSE)/100</f>
        <v>1</v>
      </c>
      <c r="W14" s="26" t="s">
        <v>85</v>
      </c>
      <c r="Z14" s="26">
        <f>VLOOKUP(B14,[2]Трансп!A$2:CP$32,35,FALSE)/100</f>
        <v>1</v>
      </c>
      <c r="AA14" s="26" t="s">
        <v>85</v>
      </c>
    </row>
    <row r="15" spans="1:27" x14ac:dyDescent="0.25">
      <c r="A15" s="29">
        <v>13</v>
      </c>
      <c r="B15" s="69" t="s">
        <v>57</v>
      </c>
      <c r="C15" s="20">
        <f>VLOOKUP(B15,[2]Трансп!A$2:CP$32,32,FALSE)/1000</f>
        <v>884.83955200000003</v>
      </c>
      <c r="D15" s="20">
        <f t="shared" si="0"/>
        <v>100</v>
      </c>
      <c r="E15" s="20">
        <f t="shared" si="1"/>
        <v>19.059999999999999</v>
      </c>
      <c r="F15" s="20">
        <f>VLOOKUP(B15,[2]Трансп!A$2:CP$32,30,FALSE)/1000</f>
        <v>252.53299999999999</v>
      </c>
      <c r="G15" s="20">
        <f t="shared" si="2"/>
        <v>100</v>
      </c>
      <c r="H15" s="20">
        <f t="shared" si="3"/>
        <v>19.21</v>
      </c>
      <c r="I15" s="30">
        <f t="shared" si="4"/>
        <v>250.3857127583326</v>
      </c>
      <c r="J15" s="64">
        <v>1659182700</v>
      </c>
      <c r="V15" s="26">
        <f>VLOOKUP(B15,[2]Трансп!A$2:CP$32,37,FALSE)/100</f>
        <v>1</v>
      </c>
      <c r="W15" s="26">
        <f>VLOOKUP(B15,[2]Трансп!A$2:CP$32,41,FALSE)/100</f>
        <v>0.19059999999999999</v>
      </c>
      <c r="Z15" s="26">
        <f>VLOOKUP(B15,[2]Трансп!A$2:CP$32,35,FALSE)/100</f>
        <v>1</v>
      </c>
      <c r="AA15" s="26">
        <f>VLOOKUP(B15,[2]Трансп!A$2:CP$32,39,FALSE)/100</f>
        <v>0.19210000000000002</v>
      </c>
    </row>
    <row r="16" spans="1:27" x14ac:dyDescent="0.25">
      <c r="A16" s="29">
        <v>14</v>
      </c>
      <c r="B16" s="69" t="s">
        <v>86</v>
      </c>
      <c r="C16" s="20">
        <f>VLOOKUP(B16,[2]Трансп!A$2:CP$32,32,FALSE)/1000</f>
        <v>834.66966000000002</v>
      </c>
      <c r="D16" s="20">
        <f t="shared" si="0"/>
        <v>0.92064552673620537</v>
      </c>
      <c r="E16" s="20">
        <f t="shared" si="1"/>
        <v>26.5</v>
      </c>
      <c r="F16" s="20">
        <f>VLOOKUP(B16,[2]Трансп!A$2:CP$32,30,FALSE)/1000</f>
        <v>100.30200000000001</v>
      </c>
      <c r="G16" s="20">
        <f t="shared" si="2"/>
        <v>0.99799999999999989</v>
      </c>
      <c r="H16" s="20">
        <f t="shared" si="3"/>
        <v>11.600000000000001</v>
      </c>
      <c r="I16" s="30">
        <f t="shared" si="4"/>
        <v>732.15654722737327</v>
      </c>
      <c r="J16" s="64" t="s">
        <v>145</v>
      </c>
      <c r="V16" s="26">
        <f>VLOOKUP(B16,[2]Трансп!A$2:CP$32,37,FALSE)/100</f>
        <v>9.2064552673620532E-3</v>
      </c>
      <c r="W16" s="26">
        <f>VLOOKUP(B16,[2]Трансп!A$2:CP$32,41,FALSE)</f>
        <v>0.26500000000000001</v>
      </c>
      <c r="Z16" s="26">
        <f>VLOOKUP(B16,[2]Трансп!A$2:CP$32,35,FALSE)/100</f>
        <v>9.9799999999999993E-3</v>
      </c>
      <c r="AA16" s="26">
        <f>VLOOKUP(B16,[2]Трансп!A$2:CP$32,39,FALSE)</f>
        <v>0.11600000000000001</v>
      </c>
    </row>
    <row r="17" spans="1:27" x14ac:dyDescent="0.25">
      <c r="A17" s="29">
        <v>15</v>
      </c>
      <c r="B17" s="69" t="s">
        <v>58</v>
      </c>
      <c r="C17" s="20">
        <f>VLOOKUP(B17,[2]Трансп!A$2:CP$32,32,FALSE)/1000</f>
        <v>486.03899999999999</v>
      </c>
      <c r="D17" s="20">
        <f t="shared" si="0"/>
        <v>100</v>
      </c>
      <c r="E17" s="20" t="s">
        <v>85</v>
      </c>
      <c r="F17" s="20">
        <f>VLOOKUP(B17,[2]Трансп!A$2:CP$32,30,FALSE)/1000</f>
        <v>510.41199999999998</v>
      </c>
      <c r="G17" s="20">
        <f t="shared" si="2"/>
        <v>100</v>
      </c>
      <c r="H17" s="20" t="s">
        <v>85</v>
      </c>
      <c r="I17" s="30">
        <f t="shared" si="4"/>
        <v>-4.7751620259711691</v>
      </c>
      <c r="J17" s="64">
        <v>5501246928</v>
      </c>
      <c r="V17" s="26">
        <f>VLOOKUP(B17,[2]Трансп!A$2:CP$32,37,FALSE)/100</f>
        <v>1</v>
      </c>
      <c r="W17" s="26" t="s">
        <v>85</v>
      </c>
      <c r="Z17" s="26">
        <f>VLOOKUP(B17,[2]Трансп!A$2:CP$32,35,FALSE)/100</f>
        <v>1</v>
      </c>
      <c r="AA17" s="26" t="s">
        <v>85</v>
      </c>
    </row>
    <row r="18" spans="1:27" x14ac:dyDescent="0.25">
      <c r="A18" s="29">
        <v>16</v>
      </c>
      <c r="B18" s="69" t="s">
        <v>52</v>
      </c>
      <c r="C18" s="20">
        <f>VLOOKUP(B18,[2]Трансп!A$2:CP$32,32,FALSE)/1000</f>
        <v>463.71300000000002</v>
      </c>
      <c r="D18" s="20">
        <f t="shared" si="0"/>
        <v>41.15</v>
      </c>
      <c r="E18" s="20" t="s">
        <v>85</v>
      </c>
      <c r="F18" s="20">
        <f>VLOOKUP(B18,[2]Трансп!A$2:CP$32,30,FALSE)/1000</f>
        <v>429.82400000000001</v>
      </c>
      <c r="G18" s="20">
        <f t="shared" si="2"/>
        <v>0</v>
      </c>
      <c r="H18" s="20" t="s">
        <v>85</v>
      </c>
      <c r="I18" s="30">
        <f t="shared" si="4"/>
        <v>7.8843898898153686</v>
      </c>
      <c r="J18" s="64">
        <v>3123449916</v>
      </c>
      <c r="V18" s="26">
        <f>VLOOKUP(B18,[2]Трансп!A$2:CP$32,37,FALSE)</f>
        <v>0.41149999999999998</v>
      </c>
      <c r="W18" s="26" t="s">
        <v>85</v>
      </c>
      <c r="Z18" s="26">
        <f>VLOOKUP(B18,[2]Трансп!A$2:CP$32,35,FALSE)</f>
        <v>0</v>
      </c>
      <c r="AA18" s="26" t="s">
        <v>85</v>
      </c>
    </row>
    <row r="19" spans="1:27" x14ac:dyDescent="0.25">
      <c r="A19" s="29">
        <v>17</v>
      </c>
      <c r="B19" s="69" t="s">
        <v>61</v>
      </c>
      <c r="C19" s="20">
        <f>VLOOKUP(B19,[2]Трансп!A$2:CP$32,32,FALSE)/1000</f>
        <v>453.48099999999999</v>
      </c>
      <c r="D19" s="20">
        <f t="shared" si="0"/>
        <v>87</v>
      </c>
      <c r="E19" s="20">
        <f t="shared" si="1"/>
        <v>0</v>
      </c>
      <c r="F19" s="33">
        <f>VLOOKUP(B19,[2]Трансп!A$2:CP$32,30,FALSE)/1000</f>
        <v>259.37900000000002</v>
      </c>
      <c r="G19" s="20">
        <f t="shared" si="2"/>
        <v>88</v>
      </c>
      <c r="H19" s="20">
        <f t="shared" si="3"/>
        <v>6</v>
      </c>
      <c r="I19" s="30">
        <f t="shared" si="4"/>
        <v>74.833351967584093</v>
      </c>
      <c r="J19" s="64">
        <v>7705974076</v>
      </c>
      <c r="V19" s="26">
        <f>VLOOKUP(B19,[2]Трансп!A$2:CP$32,37,FALSE)</f>
        <v>0.87</v>
      </c>
      <c r="W19" s="26">
        <f>VLOOKUP(B19,[2]Трансп!A$2:CP$32,41,FALSE)</f>
        <v>0</v>
      </c>
      <c r="Z19" s="26">
        <f>VLOOKUP(B19,[2]Трансп!A$2:CP$32,35,FALSE)</f>
        <v>0.88</v>
      </c>
      <c r="AA19" s="26">
        <f>VLOOKUP(B19,[2]Трансп!A$2:CP$32,39,FALSE)</f>
        <v>0.06</v>
      </c>
    </row>
    <row r="20" spans="1:27" x14ac:dyDescent="0.25">
      <c r="A20" s="29">
        <v>18</v>
      </c>
      <c r="B20" s="69" t="s">
        <v>63</v>
      </c>
      <c r="C20" s="20">
        <f>VLOOKUP(B20,[2]Трансп!A$2:CP$32,32,FALSE)/1000</f>
        <v>196.34195000000003</v>
      </c>
      <c r="D20" s="20">
        <f t="shared" si="0"/>
        <v>81.35419045444165</v>
      </c>
      <c r="E20" s="20">
        <f t="shared" si="1"/>
        <v>12.506460700740341</v>
      </c>
      <c r="F20" s="20">
        <f>VLOOKUP(B20,[2]Трансп!A$2:CP$32,30,FALSE)/1000</f>
        <v>211.762</v>
      </c>
      <c r="G20" s="20">
        <f t="shared" si="2"/>
        <v>46.050000000000004</v>
      </c>
      <c r="H20" s="20">
        <f t="shared" si="3"/>
        <v>10.100000000000001</v>
      </c>
      <c r="I20" s="30">
        <f t="shared" si="4"/>
        <v>-7.2817833227868949</v>
      </c>
      <c r="J20" s="64" t="s">
        <v>151</v>
      </c>
      <c r="V20" s="26">
        <f>VLOOKUP(B20,[2]Трансп!A$2:CP$32,37,FALSE)</f>
        <v>0.81354190454441655</v>
      </c>
      <c r="W20" s="26">
        <f>VLOOKUP(B20,[2]Трансп!A$2:CP$32,41,FALSE)</f>
        <v>0.12506460700740341</v>
      </c>
      <c r="Z20" s="26">
        <f>VLOOKUP(B20,[2]Трансп!A$2:CP$32,35,FALSE)</f>
        <v>0.46050000000000002</v>
      </c>
      <c r="AA20" s="26">
        <f>VLOOKUP(B20,[2]Трансп!A$2:CP$32,39,FALSE)</f>
        <v>0.10100000000000001</v>
      </c>
    </row>
    <row r="21" spans="1:27" x14ac:dyDescent="0.25">
      <c r="A21" s="29">
        <v>19</v>
      </c>
      <c r="B21" s="69" t="s">
        <v>53</v>
      </c>
      <c r="C21" s="33">
        <f>VLOOKUP(B21,[2]Трансп!A$2:CP$32,32,FALSE)/1000</f>
        <v>167.58029662999999</v>
      </c>
      <c r="D21" s="33">
        <f t="shared" si="0"/>
        <v>100</v>
      </c>
      <c r="E21" s="33">
        <f t="shared" si="1"/>
        <v>28.73</v>
      </c>
      <c r="F21" s="33">
        <f>VLOOKUP(B21,[2]Трансп!A$2:CP$32,30,FALSE)/1000</f>
        <v>75.081049999999991</v>
      </c>
      <c r="G21" s="20">
        <f t="shared" si="2"/>
        <v>45</v>
      </c>
      <c r="H21" s="20">
        <f t="shared" si="3"/>
        <v>28.939999999999998</v>
      </c>
      <c r="I21" s="30">
        <f t="shared" si="4"/>
        <v>123.19919158029893</v>
      </c>
      <c r="J21" s="64" t="s">
        <v>149</v>
      </c>
      <c r="V21" s="34">
        <f>VLOOKUP(B21,[2]Трансп!A$2:CP$32,37,FALSE)</f>
        <v>1</v>
      </c>
      <c r="W21" s="34">
        <f>VLOOKUP(B21,[2]Трансп!A$2:CP$32,41,FALSE)/100</f>
        <v>0.2873</v>
      </c>
      <c r="Z21" s="34">
        <f>VLOOKUP(B21,[2]Трансп!A$2:CP$32,35,FALSE)</f>
        <v>0.45</v>
      </c>
      <c r="AA21" s="34">
        <f>VLOOKUP(B21,[2]Трансп!A$2:CP$32,39,FALSE)/100</f>
        <v>0.28939999999999999</v>
      </c>
    </row>
    <row r="22" spans="1:27" x14ac:dyDescent="0.25">
      <c r="A22" s="29">
        <v>20</v>
      </c>
      <c r="B22" s="69" t="s">
        <v>68</v>
      </c>
      <c r="C22" s="20">
        <f>VLOOKUP(B22,[2]Трансп!A$2:CP$32,32,FALSE)/1000</f>
        <v>86.752285999999998</v>
      </c>
      <c r="D22" s="20">
        <f t="shared" si="0"/>
        <v>81.952867501382045</v>
      </c>
      <c r="E22" s="20" t="s">
        <v>85</v>
      </c>
      <c r="F22" s="20">
        <f>VLOOKUP(B22,[2]Трансп!A$2:CP$32,30,FALSE)/1000</f>
        <v>24.185700000000001</v>
      </c>
      <c r="G22" s="20">
        <f t="shared" si="2"/>
        <v>35.294409506443891</v>
      </c>
      <c r="H22" s="20" t="s">
        <v>85</v>
      </c>
      <c r="I22" s="30">
        <f t="shared" si="4"/>
        <v>258.69247530565582</v>
      </c>
      <c r="J22" s="64" t="s">
        <v>147</v>
      </c>
      <c r="V22" s="26">
        <f>VLOOKUP(B22,[2]Трансп!A$2:CP$32,37,FALSE)</f>
        <v>0.81952867501382043</v>
      </c>
      <c r="W22" s="26" t="s">
        <v>85</v>
      </c>
      <c r="Z22" s="26">
        <f>VLOOKUP(B22,[2]Трансп!A$2:CP$32,35,FALSE)</f>
        <v>0.35294409506443891</v>
      </c>
      <c r="AA22" s="26" t="s">
        <v>85</v>
      </c>
    </row>
    <row r="23" spans="1:27" x14ac:dyDescent="0.25">
      <c r="A23" s="29">
        <v>21</v>
      </c>
      <c r="B23" s="69" t="s">
        <v>50</v>
      </c>
      <c r="C23" s="20">
        <f>VLOOKUP(B23,[2]Трансп!A$2:CP$32,32,FALSE)/1000</f>
        <v>84.888000000000005</v>
      </c>
      <c r="D23" s="20">
        <f t="shared" si="0"/>
        <v>99.69</v>
      </c>
      <c r="E23" s="20">
        <f t="shared" si="1"/>
        <v>8.51</v>
      </c>
      <c r="F23" s="20">
        <f>VLOOKUP(B23,[2]Трансп!A$2:CP$32,30,FALSE)/1000</f>
        <v>79.037000000000006</v>
      </c>
      <c r="G23" s="20">
        <f t="shared" si="2"/>
        <v>100</v>
      </c>
      <c r="H23" s="20">
        <f t="shared" si="3"/>
        <v>23.400000000000002</v>
      </c>
      <c r="I23" s="30">
        <f t="shared" si="4"/>
        <v>7.4028619507319426</v>
      </c>
      <c r="J23" s="64">
        <v>2465260220</v>
      </c>
      <c r="V23" s="26">
        <f>VLOOKUP(B23,[2]Трансп!A$2:CP$32,37,FALSE)/100</f>
        <v>0.99690000000000001</v>
      </c>
      <c r="W23" s="26">
        <f>VLOOKUP(B23,[2]Трансп!A$2:CP$32,41,FALSE)</f>
        <v>8.5099999999999995E-2</v>
      </c>
      <c r="Z23" s="26">
        <f>VLOOKUP(B23,[2]Трансп!A$2:CP$32,35,FALSE)/100</f>
        <v>1</v>
      </c>
      <c r="AA23" s="26">
        <f>VLOOKUP(B23,[2]Трансп!A$2:CP$32,39,FALSE)</f>
        <v>0.23400000000000001</v>
      </c>
    </row>
    <row r="24" spans="1:27" x14ac:dyDescent="0.25">
      <c r="A24" s="29">
        <v>22</v>
      </c>
      <c r="B24" s="69" t="s">
        <v>46</v>
      </c>
      <c r="C24" s="20">
        <f>VLOOKUP(B24,[2]Трансп!A$2:CP$32,32,FALSE)/1000</f>
        <v>0</v>
      </c>
      <c r="D24" s="20">
        <f t="shared" si="0"/>
        <v>0</v>
      </c>
      <c r="E24" s="20">
        <f t="shared" si="1"/>
        <v>0</v>
      </c>
      <c r="F24" s="20">
        <f>VLOOKUP(B24,[2]Трансп!A$2:CP$32,30,FALSE)/1000</f>
        <v>37.651000000000003</v>
      </c>
      <c r="G24" s="20">
        <f t="shared" si="2"/>
        <v>0</v>
      </c>
      <c r="H24" s="20">
        <f t="shared" si="3"/>
        <v>99</v>
      </c>
      <c r="I24" s="30">
        <f t="shared" si="4"/>
        <v>-100</v>
      </c>
      <c r="J24" s="64">
        <v>5410059568</v>
      </c>
      <c r="V24" s="26">
        <f>VLOOKUP(B24,[2]Трансп!A$2:CP$32,37,FALSE)/100</f>
        <v>0</v>
      </c>
      <c r="W24" s="26">
        <f>VLOOKUP(B24,[2]Трансп!A$2:CP$32,41,FALSE)</f>
        <v>0</v>
      </c>
      <c r="Z24" s="26">
        <f>VLOOKUP(B24,[2]Трансп!A$2:CP$32,35,FALSE)/100</f>
        <v>0</v>
      </c>
      <c r="AA24" s="26">
        <f>VLOOKUP(B24,[2]Трансп!A$2:CP$32,39,FALSE)</f>
        <v>0.99</v>
      </c>
    </row>
  </sheetData>
  <sortState xmlns:xlrd2="http://schemas.microsoft.com/office/spreadsheetml/2017/richdata2" ref="A3:I24">
    <sortCondition descending="1" ref="C3:C24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E847-6B80-476C-A18B-BCC53B8AA77F}">
  <dimension ref="A1:K32"/>
  <sheetViews>
    <sheetView workbookViewId="0">
      <selection activeCell="C4" sqref="C4"/>
    </sheetView>
  </sheetViews>
  <sheetFormatPr defaultRowHeight="15" x14ac:dyDescent="0.25"/>
  <cols>
    <col min="2" max="2" width="50.7109375" customWidth="1"/>
  </cols>
  <sheetData>
    <row r="1" spans="1:11" x14ac:dyDescent="0.25">
      <c r="A1" t="s">
        <v>101</v>
      </c>
      <c r="B1" s="7"/>
      <c r="C1" s="8"/>
      <c r="D1" s="8"/>
      <c r="E1" s="8"/>
      <c r="F1" s="8"/>
      <c r="G1" s="8"/>
      <c r="H1" s="8"/>
      <c r="I1" s="8"/>
      <c r="J1" s="8"/>
    </row>
    <row r="2" spans="1:11" s="38" customFormat="1" x14ac:dyDescent="0.25">
      <c r="A2" s="98" t="s">
        <v>2</v>
      </c>
      <c r="B2" s="98" t="s">
        <v>0</v>
      </c>
      <c r="C2" s="99" t="s">
        <v>87</v>
      </c>
      <c r="D2" s="100"/>
      <c r="E2" s="101"/>
      <c r="F2" s="99" t="s">
        <v>77</v>
      </c>
      <c r="G2" s="100"/>
      <c r="H2" s="101"/>
      <c r="I2" s="97" t="s">
        <v>78</v>
      </c>
      <c r="J2" s="97" t="s">
        <v>103</v>
      </c>
      <c r="K2"/>
    </row>
    <row r="3" spans="1:11" ht="56.25" x14ac:dyDescent="0.25">
      <c r="A3" s="98"/>
      <c r="B3" s="98"/>
      <c r="C3" s="39" t="s">
        <v>104</v>
      </c>
      <c r="D3" s="1" t="s">
        <v>105</v>
      </c>
      <c r="E3" s="1" t="s">
        <v>106</v>
      </c>
      <c r="F3" s="39" t="s">
        <v>104</v>
      </c>
      <c r="G3" s="1" t="s">
        <v>105</v>
      </c>
      <c r="H3" s="1" t="s">
        <v>106</v>
      </c>
      <c r="I3" s="97"/>
      <c r="J3" s="97"/>
      <c r="K3" s="40"/>
    </row>
    <row r="4" spans="1:11" x14ac:dyDescent="0.25">
      <c r="B4" t="s">
        <v>42</v>
      </c>
      <c r="C4" s="41">
        <f>VLOOKUP(B4,[2]Трансп!A$2:CP$32,44,FALSE)/1000</f>
        <v>1911.018</v>
      </c>
      <c r="D4" s="41">
        <f>VLOOKUP(B4,[2]Трансп!A$2:CP$32,48,FALSE)/1000</f>
        <v>1017.966</v>
      </c>
      <c r="E4" s="41">
        <f>VLOOKUP(B4,[2]Трансп!A$2:CP$32,51,FALSE)/1000</f>
        <v>832.90300000000002</v>
      </c>
      <c r="F4" s="41">
        <f>VLOOKUP(B4,[2]Трансп!A$2:CP$32,42,FALSE)/1000</f>
        <v>1086.204</v>
      </c>
      <c r="G4" s="41">
        <f>VLOOKUP(B4,[2]Трансп!A$2:CP$32,46,FALSE)/1000</f>
        <v>606.50199999999995</v>
      </c>
      <c r="H4" s="41">
        <f>VLOOKUP(B4,[2]Трансп!A$2:CP$32,49,FALSE)/1000</f>
        <v>390.57100000000003</v>
      </c>
    </row>
    <row r="5" spans="1:11" x14ac:dyDescent="0.25">
      <c r="B5" t="s">
        <v>43</v>
      </c>
      <c r="C5" s="41">
        <f>VLOOKUP(B5,[2]Трансп!A$2:CP$32,44,FALSE)/1000</f>
        <v>0</v>
      </c>
      <c r="D5" s="41">
        <f>VLOOKUP(B5,[2]Трансп!A$2:CP$32,48,FALSE)/1000</f>
        <v>0</v>
      </c>
      <c r="E5" s="41">
        <f>VLOOKUP(B5,[2]Трансп!A$2:CP$32,51,FALSE)/1000</f>
        <v>0</v>
      </c>
      <c r="F5" s="41">
        <f>VLOOKUP(B5,[2]Трансп!A$2:CP$32,42,FALSE)/1000</f>
        <v>0</v>
      </c>
      <c r="G5" s="41">
        <f>VLOOKUP(B5,[2]Трансп!A$2:CP$32,46,FALSE)/1000</f>
        <v>0</v>
      </c>
      <c r="H5" s="41">
        <f>VLOOKUP(B5,[2]Трансп!A$2:CP$32,49,FALSE)/1000</f>
        <v>0</v>
      </c>
    </row>
    <row r="6" spans="1:11" x14ac:dyDescent="0.25">
      <c r="B6" t="s">
        <v>44</v>
      </c>
      <c r="C6" s="41">
        <f>VLOOKUP(B6,[2]Трансп!A$2:CP$32,44,FALSE)/1000</f>
        <v>0</v>
      </c>
      <c r="D6" s="41">
        <f>VLOOKUP(B6,[2]Трансп!A$2:CP$32,48,FALSE)/1000</f>
        <v>0</v>
      </c>
      <c r="E6" s="41">
        <f>VLOOKUP(B6,[2]Трансп!A$2:CP$32,51,FALSE)/1000</f>
        <v>0</v>
      </c>
      <c r="F6" s="41">
        <f>VLOOKUP(B6,[2]Трансп!A$2:CP$32,42,FALSE)/1000</f>
        <v>0</v>
      </c>
      <c r="G6" s="41">
        <f>VLOOKUP(B6,[2]Трансп!A$2:CP$32,46,FALSE)/1000</f>
        <v>0</v>
      </c>
      <c r="H6" s="41">
        <f>VLOOKUP(B6,[2]Трансп!A$2:CP$32,49,FALSE)/1000</f>
        <v>0</v>
      </c>
    </row>
    <row r="7" spans="1:11" x14ac:dyDescent="0.25">
      <c r="B7" t="s">
        <v>45</v>
      </c>
      <c r="C7" s="41">
        <f>VLOOKUP(B7,[2]Трансп!A$2:CP$32,44,FALSE)/1000</f>
        <v>0</v>
      </c>
      <c r="D7" s="41">
        <f>VLOOKUP(B7,[2]Трансп!A$2:CP$32,48,FALSE)/1000</f>
        <v>0</v>
      </c>
      <c r="E7" s="41">
        <f>VLOOKUP(B7,[2]Трансп!A$2:CP$32,51,FALSE)/1000</f>
        <v>0</v>
      </c>
      <c r="F7" s="41">
        <f>VLOOKUP(B7,[2]Трансп!A$2:CP$32,42,FALSE)/1000</f>
        <v>0</v>
      </c>
      <c r="G7" s="41">
        <f>VLOOKUP(B7,[2]Трансп!A$2:CP$32,46,FALSE)/1000</f>
        <v>0</v>
      </c>
      <c r="H7" s="41">
        <f>VLOOKUP(B7,[2]Трансп!A$2:CP$32,49,FALSE)/1000</f>
        <v>0</v>
      </c>
    </row>
    <row r="8" spans="1:11" x14ac:dyDescent="0.25">
      <c r="B8" t="s">
        <v>46</v>
      </c>
      <c r="C8" s="41">
        <f>VLOOKUP(B8,[2]Трансп!A$2:CP$32,44,FALSE)/1000</f>
        <v>2839.2719999999999</v>
      </c>
      <c r="D8" s="41">
        <f>VLOOKUP(B8,[2]Трансп!A$2:CP$32,48,FALSE)/1000</f>
        <v>1330.4739999999999</v>
      </c>
      <c r="E8" s="41">
        <f>VLOOKUP(B8,[2]Трансп!A$2:CP$32,51,FALSE)/1000</f>
        <v>1238.058</v>
      </c>
      <c r="F8" s="41">
        <f>VLOOKUP(B8,[2]Трансп!A$2:CP$32,42,FALSE)/1000</f>
        <v>2345.5500000000002</v>
      </c>
      <c r="G8" s="41">
        <f>VLOOKUP(B8,[2]Трансп!A$2:CP$32,46,FALSE)/1000</f>
        <v>1273.9559999999999</v>
      </c>
      <c r="H8" s="41">
        <f>VLOOKUP(B8,[2]Трансп!A$2:CP$32,49,FALSE)/1000</f>
        <v>1065.7090000000001</v>
      </c>
    </row>
    <row r="9" spans="1:11" x14ac:dyDescent="0.25">
      <c r="B9" t="s">
        <v>47</v>
      </c>
      <c r="C9" s="41">
        <f>VLOOKUP(B9,[2]Трансп!A$2:CP$32,44,FALSE)/1000</f>
        <v>919.04300000000001</v>
      </c>
      <c r="D9" s="41">
        <f>VLOOKUP(B9,[2]Трансп!A$2:CP$32,48,FALSE)/1000</f>
        <v>856.01199999999994</v>
      </c>
      <c r="E9" s="41">
        <f>VLOOKUP(B9,[2]Трансп!A$2:CP$32,51,FALSE)/1000</f>
        <v>845.404</v>
      </c>
      <c r="F9" s="41">
        <f>VLOOKUP(B9,[2]Трансп!A$2:CP$32,42,FALSE)/1000</f>
        <v>701.77</v>
      </c>
      <c r="G9" s="41">
        <f>VLOOKUP(B9,[2]Трансп!A$2:CP$32,46,FALSE)/1000</f>
        <v>644.51800000000003</v>
      </c>
      <c r="H9" s="41">
        <f>VLOOKUP(B9,[2]Трансп!A$2:CP$32,49,FALSE)/1000</f>
        <v>633.01199999999994</v>
      </c>
    </row>
    <row r="10" spans="1:11" x14ac:dyDescent="0.25">
      <c r="B10" t="s">
        <v>48</v>
      </c>
      <c r="C10" s="41">
        <f>VLOOKUP(B10,[2]Трансп!A$2:CP$32,44,FALSE)/1000</f>
        <v>0</v>
      </c>
      <c r="D10" s="41">
        <f>VLOOKUP(B10,[2]Трансп!A$2:CP$32,48,FALSE)/1000</f>
        <v>0</v>
      </c>
      <c r="E10" s="41">
        <f>VLOOKUP(B10,[2]Трансп!A$2:CP$32,51,FALSE)/1000</f>
        <v>0</v>
      </c>
      <c r="F10" s="41">
        <f>VLOOKUP(B10,[2]Трансп!A$2:CP$32,42,FALSE)/1000</f>
        <v>0</v>
      </c>
      <c r="G10" s="41">
        <f>VLOOKUP(B10,[2]Трансп!A$2:CP$32,46,FALSE)/1000</f>
        <v>0</v>
      </c>
      <c r="H10" s="41">
        <f>VLOOKUP(B10,[2]Трансп!A$2:CP$32,49,FALSE)/1000</f>
        <v>0</v>
      </c>
    </row>
    <row r="11" spans="1:11" x14ac:dyDescent="0.25">
      <c r="B11" t="s">
        <v>49</v>
      </c>
      <c r="C11" s="41">
        <f>VLOOKUP(B11,[2]Трансп!A$2:CP$32,44,FALSE)/1000</f>
        <v>0</v>
      </c>
      <c r="D11" s="41">
        <f>VLOOKUP(B11,[2]Трансп!A$2:CP$32,48,FALSE)/1000</f>
        <v>0</v>
      </c>
      <c r="E11" s="41">
        <f>VLOOKUP(B11,[2]Трансп!A$2:CP$32,51,FALSE)/1000</f>
        <v>0</v>
      </c>
      <c r="F11" s="41">
        <f>VLOOKUP(B11,[2]Трансп!A$2:CP$32,42,FALSE)/1000</f>
        <v>0</v>
      </c>
      <c r="G11" s="41">
        <f>VLOOKUP(B11,[2]Трансп!A$2:CP$32,46,FALSE)/1000</f>
        <v>0</v>
      </c>
      <c r="H11" s="41">
        <f>VLOOKUP(B11,[2]Трансп!A$2:CP$32,49,FALSE)/1000</f>
        <v>0</v>
      </c>
    </row>
    <row r="12" spans="1:11" x14ac:dyDescent="0.25">
      <c r="B12" t="s">
        <v>50</v>
      </c>
      <c r="C12" s="41">
        <f>VLOOKUP(B12,[2]Трансп!A$2:CP$32,44,FALSE)/1000</f>
        <v>1.66</v>
      </c>
      <c r="D12" s="41">
        <f>VLOOKUP(B12,[2]Трансп!A$2:CP$32,48,FALSE)/1000</f>
        <v>4.4999999999999998E-2</v>
      </c>
      <c r="E12" s="41">
        <f>VLOOKUP(B12,[2]Трансп!A$2:CP$32,51,FALSE)/1000</f>
        <v>4.4999999999999998E-2</v>
      </c>
      <c r="F12" s="41">
        <f>VLOOKUP(B12,[2]Трансп!A$2:CP$32,42,FALSE)/1000</f>
        <v>2.3220000000000001</v>
      </c>
      <c r="G12" s="41">
        <f>VLOOKUP(B12,[2]Трансп!A$2:CP$32,46,FALSE)/1000</f>
        <v>0.45</v>
      </c>
      <c r="H12" s="41">
        <f>VLOOKUP(B12,[2]Трансп!A$2:CP$32,49,FALSE)/1000</f>
        <v>0.45</v>
      </c>
    </row>
    <row r="13" spans="1:11" x14ac:dyDescent="0.25">
      <c r="B13" t="s">
        <v>51</v>
      </c>
      <c r="C13" s="41">
        <f>VLOOKUP(B13,[2]Трансп!A$2:CP$32,44,FALSE)/1000</f>
        <v>202.68899999999999</v>
      </c>
      <c r="D13" s="41">
        <f>VLOOKUP(B13,[2]Трансп!A$2:CP$32,48,FALSE)/1000</f>
        <v>140.536</v>
      </c>
      <c r="E13" s="41">
        <f>VLOOKUP(B13,[2]Трансп!A$2:CP$32,51,FALSE)/1000</f>
        <v>112.265</v>
      </c>
      <c r="F13" s="41">
        <f>VLOOKUP(B13,[2]Трансп!A$2:CP$32,42,FALSE)/1000</f>
        <v>37.853000000000002</v>
      </c>
      <c r="G13" s="41">
        <f>VLOOKUP(B13,[2]Трансп!A$2:CP$32,46,FALSE)/1000</f>
        <v>33.956000000000003</v>
      </c>
      <c r="H13" s="41">
        <f>VLOOKUP(B13,[2]Трансп!A$2:CP$32,49,FALSE)/1000</f>
        <v>25.670999999999999</v>
      </c>
    </row>
    <row r="14" spans="1:11" x14ac:dyDescent="0.25">
      <c r="B14" t="s">
        <v>52</v>
      </c>
      <c r="C14" s="41">
        <f>VLOOKUP(B14,[2]Трансп!A$2:CP$32,44,FALSE)/1000</f>
        <v>0</v>
      </c>
      <c r="D14" s="41">
        <f>VLOOKUP(B14,[2]Трансп!A$2:CP$32,48,FALSE)/1000</f>
        <v>0</v>
      </c>
      <c r="E14" s="41">
        <f>VLOOKUP(B14,[2]Трансп!A$2:CP$32,51,FALSE)/1000</f>
        <v>0</v>
      </c>
      <c r="F14" s="41">
        <f>VLOOKUP(B14,[2]Трансп!A$2:CP$32,42,FALSE)/1000</f>
        <v>0</v>
      </c>
      <c r="G14" s="41">
        <f>VLOOKUP(B14,[2]Трансп!A$2:CP$32,46,FALSE)/1000</f>
        <v>0</v>
      </c>
      <c r="H14" s="41">
        <f>VLOOKUP(B14,[2]Трансп!A$2:CP$32,49,FALSE)/1000</f>
        <v>0</v>
      </c>
    </row>
    <row r="15" spans="1:11" x14ac:dyDescent="0.25">
      <c r="B15" t="s">
        <v>53</v>
      </c>
      <c r="C15" s="41">
        <f>VLOOKUP(B15,[2]Трансп!A$2:CP$32,44,FALSE)/1000</f>
        <v>2964.7429566215474</v>
      </c>
      <c r="D15" s="41">
        <f>VLOOKUP(B15,[2]Трансп!A$2:CP$32,48,FALSE)/1000</f>
        <v>1753.2763192502305</v>
      </c>
      <c r="E15" s="41">
        <f>VLOOKUP(B15,[2]Трансп!A$2:CP$32,51,FALSE)/1000</f>
        <v>1504.669382500239</v>
      </c>
      <c r="F15" s="41">
        <f>VLOOKUP(B15,[2]Трансп!A$2:CP$32,42,FALSE)/1000</f>
        <v>1636.588</v>
      </c>
      <c r="G15" s="41">
        <f>VLOOKUP(B15,[2]Трансп!A$2:CP$32,46,FALSE)/1000</f>
        <v>1221.615</v>
      </c>
      <c r="H15" s="41">
        <f>VLOOKUP(B15,[2]Трансп!A$2:CP$32,49,FALSE)/1000</f>
        <v>920.28700000000003</v>
      </c>
    </row>
    <row r="16" spans="1:11" x14ac:dyDescent="0.25">
      <c r="B16" t="s">
        <v>54</v>
      </c>
      <c r="C16" s="41">
        <f>VLOOKUP(B16,[2]Трансп!A$2:CP$32,44,FALSE)/1000</f>
        <v>196.14430599999986</v>
      </c>
      <c r="D16" s="41">
        <f>VLOOKUP(B16,[2]Трансп!A$2:CP$32,48,FALSE)/1000</f>
        <v>94.325505000000007</v>
      </c>
      <c r="E16" s="41">
        <f>VLOOKUP(B16,[2]Трансп!A$2:CP$32,51,FALSE)/1000</f>
        <v>69.634799999999998</v>
      </c>
      <c r="F16" s="41">
        <f>VLOOKUP(B16,[2]Трансп!A$2:CP$32,42,FALSE)/1000</f>
        <v>79.415999999999997</v>
      </c>
      <c r="G16" s="41">
        <f>VLOOKUP(B16,[2]Трансп!A$2:CP$32,46,FALSE)/1000</f>
        <v>26.050999999999998</v>
      </c>
      <c r="H16" s="41">
        <f>VLOOKUP(B16,[2]Трансп!A$2:CP$32,49,FALSE)/1000</f>
        <v>15.904999999999999</v>
      </c>
    </row>
    <row r="17" spans="2:8" x14ac:dyDescent="0.25">
      <c r="B17" t="s">
        <v>55</v>
      </c>
      <c r="C17" s="41">
        <f>VLOOKUP(B17,[2]Трансп!A$2:CP$32,44,FALSE)/1000</f>
        <v>0</v>
      </c>
      <c r="D17" s="41">
        <f>VLOOKUP(B17,[2]Трансп!A$2:CP$32,48,FALSE)/1000</f>
        <v>0</v>
      </c>
      <c r="E17" s="41">
        <f>VLOOKUP(B17,[2]Трансп!A$2:CP$32,51,FALSE)/1000</f>
        <v>0</v>
      </c>
      <c r="F17" s="41">
        <f>VLOOKUP(B17,[2]Трансп!A$2:CP$32,42,FALSE)/1000</f>
        <v>0</v>
      </c>
      <c r="G17" s="41">
        <f>VLOOKUP(B17,[2]Трансп!A$2:CP$32,46,FALSE)/1000</f>
        <v>0</v>
      </c>
      <c r="H17" s="41">
        <f>VLOOKUP(B17,[2]Трансп!A$2:CP$32,49,FALSE)/1000</f>
        <v>0</v>
      </c>
    </row>
    <row r="18" spans="2:8" x14ac:dyDescent="0.25">
      <c r="B18" t="s">
        <v>56</v>
      </c>
      <c r="C18" s="41">
        <f>VLOOKUP(B18,[2]Трансп!A$2:CP$32,44,FALSE)/1000</f>
        <v>3914.1521434300003</v>
      </c>
      <c r="D18" s="41">
        <f>VLOOKUP(B18,[2]Трансп!A$2:CP$32,48,FALSE)/1000</f>
        <v>2709.0880325200001</v>
      </c>
      <c r="E18" s="41">
        <f>VLOOKUP(B18,[2]Трансп!A$2:CP$32,51,FALSE)/1000</f>
        <v>2504.1206226200002</v>
      </c>
      <c r="F18" s="41">
        <f>VLOOKUP(B18,[2]Трансп!A$2:CP$32,42,FALSE)/1000</f>
        <v>3366.7588318099997</v>
      </c>
      <c r="G18" s="41">
        <f>VLOOKUP(B18,[2]Трансп!A$2:CP$32,46,FALSE)/1000</f>
        <v>2292.4524213700001</v>
      </c>
      <c r="H18" s="41">
        <f>VLOOKUP(B18,[2]Трансп!A$2:CP$32,49,FALSE)/1000</f>
        <v>2283.0593622800002</v>
      </c>
    </row>
    <row r="19" spans="2:8" x14ac:dyDescent="0.25">
      <c r="B19" t="s">
        <v>57</v>
      </c>
      <c r="C19" s="41">
        <f>VLOOKUP(B19,[2]Трансп!A$2:CP$32,44,FALSE)/1000</f>
        <v>0</v>
      </c>
      <c r="D19" s="41">
        <f>VLOOKUP(B19,[2]Трансп!A$2:CP$32,48,FALSE)/1000</f>
        <v>0</v>
      </c>
      <c r="E19" s="41">
        <f>VLOOKUP(B19,[2]Трансп!A$2:CP$32,51,FALSE)/1000</f>
        <v>0</v>
      </c>
      <c r="F19" s="41">
        <f>VLOOKUP(B19,[2]Трансп!A$2:CP$32,42,FALSE)/1000</f>
        <v>0</v>
      </c>
      <c r="G19" s="41">
        <f>VLOOKUP(B19,[2]Трансп!A$2:CP$32,46,FALSE)/1000</f>
        <v>0</v>
      </c>
      <c r="H19" s="41">
        <f>VLOOKUP(B19,[2]Трансп!A$2:CP$32,49,FALSE)/1000</f>
        <v>0</v>
      </c>
    </row>
    <row r="20" spans="2:8" x14ac:dyDescent="0.25">
      <c r="B20" t="s">
        <v>58</v>
      </c>
      <c r="C20" s="41">
        <f>VLOOKUP(B20,[2]Трансп!A$2:CP$32,44,FALSE)/1000</f>
        <v>0</v>
      </c>
      <c r="D20" s="41">
        <f>VLOOKUP(B20,[2]Трансп!A$2:CP$32,48,FALSE)/1000</f>
        <v>0</v>
      </c>
      <c r="E20" s="41">
        <f>VLOOKUP(B20,[2]Трансп!A$2:CP$32,51,FALSE)/1000</f>
        <v>0</v>
      </c>
      <c r="F20" s="41">
        <f>VLOOKUP(B20,[2]Трансп!A$2:CP$32,42,FALSE)/1000</f>
        <v>0</v>
      </c>
      <c r="G20" s="41">
        <f>VLOOKUP(B20,[2]Трансп!A$2:CP$32,46,FALSE)/1000</f>
        <v>0</v>
      </c>
      <c r="H20" s="41">
        <f>VLOOKUP(B20,[2]Трансп!A$2:CP$32,49,FALSE)/1000</f>
        <v>0</v>
      </c>
    </row>
    <row r="21" spans="2:8" x14ac:dyDescent="0.25">
      <c r="B21" t="s">
        <v>59</v>
      </c>
      <c r="C21" s="41">
        <f>VLOOKUP(B21,[2]Трансп!A$2:CP$32,44,FALSE)/1000</f>
        <v>1191.9970000000001</v>
      </c>
      <c r="D21" s="41">
        <f>VLOOKUP(B21,[2]Трансп!A$2:CP$32,48,FALSE)/1000</f>
        <v>675.23299999999995</v>
      </c>
      <c r="E21" s="41">
        <f>VLOOKUP(B21,[2]Трансп!A$2:CP$32,51,FALSE)/1000</f>
        <v>539.423</v>
      </c>
      <c r="F21" s="41">
        <f>VLOOKUP(B21,[2]Трансп!A$2:CP$32,42,FALSE)/1000</f>
        <v>700.44100000000003</v>
      </c>
      <c r="G21" s="41">
        <f>VLOOKUP(B21,[2]Трансп!A$2:CP$32,46,FALSE)/1000</f>
        <v>304.97000000000003</v>
      </c>
      <c r="H21" s="41">
        <f>VLOOKUP(B21,[2]Трансп!A$2:CP$32,49,FALSE)/1000</f>
        <v>217.23</v>
      </c>
    </row>
    <row r="22" spans="2:8" x14ac:dyDescent="0.25">
      <c r="B22" t="s">
        <v>60</v>
      </c>
      <c r="C22" s="41">
        <f>VLOOKUP(B22,[2]Трансп!A$2:CP$32,44,FALSE)/1000</f>
        <v>2981.1030000000001</v>
      </c>
      <c r="D22" s="41">
        <f>VLOOKUP(B22,[2]Трансп!A$2:CP$32,48,FALSE)/1000</f>
        <v>2599.3409999999999</v>
      </c>
      <c r="E22" s="41">
        <f>VLOOKUP(B22,[2]Трансп!A$2:CP$32,51,FALSE)/1000</f>
        <v>2049.944</v>
      </c>
      <c r="F22" s="41">
        <f>VLOOKUP(B22,[2]Трансп!A$2:CP$32,42,FALSE)/1000</f>
        <v>1340.9169999999999</v>
      </c>
      <c r="G22" s="41">
        <f>VLOOKUP(B22,[2]Трансп!A$2:CP$32,46,FALSE)/1000</f>
        <v>691.45799999999997</v>
      </c>
      <c r="H22" s="41">
        <f>VLOOKUP(B22,[2]Трансп!A$2:CP$32,49,FALSE)/1000</f>
        <v>616.53300000000002</v>
      </c>
    </row>
    <row r="23" spans="2:8" x14ac:dyDescent="0.25">
      <c r="B23" t="s">
        <v>86</v>
      </c>
      <c r="C23" s="41">
        <f>VLOOKUP(B23,[2]Трансп!A$2:CP$32,44,FALSE)/1000</f>
        <v>5880.0456200000008</v>
      </c>
      <c r="D23" s="41">
        <f>VLOOKUP(B23,[2]Трансп!A$2:CP$32,48,FALSE)/1000</f>
        <v>2589.1694463500153</v>
      </c>
      <c r="E23" s="41">
        <f>VLOOKUP(B23,[2]Трансп!A$2:CP$32,51,FALSE)/1000</f>
        <v>2797.3061339999999</v>
      </c>
      <c r="F23" s="41">
        <f>VLOOKUP(B23,[2]Трансп!A$2:CP$32,42,FALSE)/1000</f>
        <v>5465.393</v>
      </c>
      <c r="G23" s="41">
        <f>VLOOKUP(B23,[2]Трансп!A$2:CP$32,46,FALSE)/1000</f>
        <v>2447.84</v>
      </c>
      <c r="H23" s="41">
        <f>VLOOKUP(B23,[2]Трансп!A$2:CP$32,49,FALSE)/1000</f>
        <v>1647.2539999999999</v>
      </c>
    </row>
    <row r="24" spans="2:8" x14ac:dyDescent="0.25">
      <c r="B24" t="s">
        <v>61</v>
      </c>
      <c r="C24" s="41">
        <f>VLOOKUP(B24,[2]Трансп!A$2:CP$32,44,FALSE)/1000</f>
        <v>32.622</v>
      </c>
      <c r="D24" s="41">
        <f>VLOOKUP(B24,[2]Трансп!A$2:CP$32,48,FALSE)/1000</f>
        <v>19.263000000000002</v>
      </c>
      <c r="E24" s="41">
        <f>VLOOKUP(B24,[2]Трансп!A$2:CP$32,51,FALSE)/1000</f>
        <v>16.268000000000001</v>
      </c>
      <c r="F24" s="41">
        <f>VLOOKUP(B24,[2]Трансп!A$2:CP$32,42,FALSE)/1000</f>
        <v>22.277999999999999</v>
      </c>
      <c r="G24" s="41">
        <f>VLOOKUP(B24,[2]Трансп!A$2:CP$32,46,FALSE)/1000</f>
        <v>7.9080000000000004</v>
      </c>
      <c r="H24" s="41">
        <f>VLOOKUP(B24,[2]Трансп!A$2:CP$32,49,FALSE)/1000</f>
        <v>6.8719999999999999</v>
      </c>
    </row>
    <row r="25" spans="2:8" x14ac:dyDescent="0.25">
      <c r="B25" t="s">
        <v>62</v>
      </c>
      <c r="C25" s="41">
        <f>VLOOKUP(B25,[2]Трансп!A$2:CP$32,44,FALSE)/1000</f>
        <v>874.61199999999997</v>
      </c>
      <c r="D25" s="41">
        <f>VLOOKUP(B25,[2]Трансп!A$2:CP$32,48,FALSE)/1000</f>
        <v>271.46899999999999</v>
      </c>
      <c r="E25" s="41">
        <f>VLOOKUP(B25,[2]Трансп!A$2:CP$32,51,FALSE)/1000</f>
        <v>242.429</v>
      </c>
      <c r="F25" s="41">
        <f>VLOOKUP(B25,[2]Трансп!A$2:CP$32,42,FALSE)/1000</f>
        <v>782.07500000000005</v>
      </c>
      <c r="G25" s="41">
        <f>VLOOKUP(B25,[2]Трансп!A$2:CP$32,46,FALSE)/1000</f>
        <v>223.726</v>
      </c>
      <c r="H25" s="41">
        <f>VLOOKUP(B25,[2]Трансп!A$2:CP$32,49,FALSE)/1000</f>
        <v>179.32300000000001</v>
      </c>
    </row>
    <row r="26" spans="2:8" x14ac:dyDescent="0.25">
      <c r="B26" t="s">
        <v>63</v>
      </c>
      <c r="C26" s="41">
        <f>VLOOKUP(B26,[2]Трансп!A$2:CP$32,44,FALSE)/1000</f>
        <v>1064.1420000000001</v>
      </c>
      <c r="D26" s="41">
        <f>VLOOKUP(B26,[2]Трансп!A$2:CP$32,48,FALSE)/1000</f>
        <v>630.56799999999998</v>
      </c>
      <c r="E26" s="41">
        <f>VLOOKUP(B26,[2]Трансп!A$2:CP$32,51,FALSE)/1000</f>
        <v>527.20799999999997</v>
      </c>
      <c r="F26" s="41">
        <f>VLOOKUP(B26,[2]Трансп!A$2:CP$32,42,FALSE)/1000</f>
        <v>1140.3720000000001</v>
      </c>
      <c r="G26" s="41">
        <f>VLOOKUP(B26,[2]Трансп!A$2:CP$32,46,FALSE)/1000</f>
        <v>398.02300000000002</v>
      </c>
      <c r="H26" s="41">
        <f>VLOOKUP(B26,[2]Трансп!A$2:CP$32,49,FALSE)/1000</f>
        <v>300.77600000000001</v>
      </c>
    </row>
    <row r="27" spans="2:8" x14ac:dyDescent="0.25">
      <c r="B27" t="s">
        <v>64</v>
      </c>
      <c r="C27" s="41">
        <f>VLOOKUP(B27,[2]Трансп!A$2:CP$32,44,FALSE)/1000</f>
        <v>393.95</v>
      </c>
      <c r="D27" s="41">
        <f>VLOOKUP(B27,[2]Трансп!A$2:CP$32,48,FALSE)/1000</f>
        <v>142.642</v>
      </c>
      <c r="E27" s="41">
        <f>VLOOKUP(B27,[2]Трансп!A$2:CP$32,51,FALSE)/1000</f>
        <v>112.117</v>
      </c>
      <c r="F27" s="41">
        <f>VLOOKUP(B27,[2]Трансп!A$2:CP$32,42,FALSE)/1000</f>
        <v>237.34899999999999</v>
      </c>
      <c r="G27" s="41">
        <f>VLOOKUP(B27,[2]Трансп!A$2:CP$32,46,FALSE)/1000</f>
        <v>219.94900000000001</v>
      </c>
      <c r="H27" s="41">
        <f>VLOOKUP(B27,[2]Трансп!A$2:CP$32,49,FALSE)/1000</f>
        <v>152.99799999999999</v>
      </c>
    </row>
    <row r="28" spans="2:8" x14ac:dyDescent="0.25">
      <c r="B28" t="s">
        <v>65</v>
      </c>
      <c r="C28" s="41">
        <f>VLOOKUP(B28,[2]Трансп!A$2:CP$32,44,FALSE)/1000</f>
        <v>1913.9259999999999</v>
      </c>
      <c r="D28" s="41">
        <f>VLOOKUP(B28,[2]Трансп!A$2:CP$32,48,FALSE)/1000</f>
        <v>897.77700000000004</v>
      </c>
      <c r="E28" s="41">
        <f>VLOOKUP(B28,[2]Трансп!A$2:CP$32,51,FALSE)/1000</f>
        <v>680.64300000000003</v>
      </c>
      <c r="F28" s="41">
        <f>VLOOKUP(B28,[2]Трансп!A$2:CP$32,42,FALSE)/1000</f>
        <v>820.79899999999998</v>
      </c>
      <c r="G28" s="41">
        <f>VLOOKUP(B28,[2]Трансп!A$2:CP$32,46,FALSE)/1000</f>
        <v>377.06799999999998</v>
      </c>
      <c r="H28" s="41">
        <f>VLOOKUP(B28,[2]Трансп!A$2:CP$32,49,FALSE)/1000</f>
        <v>361.18200000000002</v>
      </c>
    </row>
    <row r="29" spans="2:8" x14ac:dyDescent="0.25">
      <c r="B29" t="s">
        <v>66</v>
      </c>
      <c r="C29" s="41">
        <f>VLOOKUP(B29,[2]Трансп!A$2:CP$32,44,FALSE)/1000</f>
        <v>212.417</v>
      </c>
      <c r="D29" s="41">
        <f>VLOOKUP(B29,[2]Трансп!A$2:CP$32,48,FALSE)/1000</f>
        <v>116.80500000000001</v>
      </c>
      <c r="E29" s="41">
        <f>VLOOKUP(B29,[2]Трансп!A$2:CP$32,51,FALSE)/1000</f>
        <v>85.388999999999996</v>
      </c>
      <c r="F29" s="41">
        <f>VLOOKUP(B29,[2]Трансп!A$2:CP$32,42,FALSE)/1000</f>
        <v>92.225999999999999</v>
      </c>
      <c r="G29" s="41">
        <f>VLOOKUP(B29,[2]Трансп!A$2:CP$32,46,FALSE)/1000</f>
        <v>63.99</v>
      </c>
      <c r="H29" s="41">
        <f>VLOOKUP(B29,[2]Трансп!A$2:CP$32,49,FALSE)/1000</f>
        <v>51.317</v>
      </c>
    </row>
    <row r="30" spans="2:8" x14ac:dyDescent="0.25">
      <c r="B30" t="s">
        <v>67</v>
      </c>
      <c r="C30" s="41">
        <f>VLOOKUP(B30,[2]Трансп!A$2:CP$32,44,FALSE)/1000</f>
        <v>426.6</v>
      </c>
      <c r="D30" s="41">
        <f>VLOOKUP(B30,[2]Трансп!A$2:CP$32,48,FALSE)/1000</f>
        <v>376.05200000000002</v>
      </c>
      <c r="E30" s="41">
        <f>VLOOKUP(B30,[2]Трансп!A$2:CP$32,51,FALSE)/1000</f>
        <v>365.435</v>
      </c>
      <c r="F30" s="41">
        <f>VLOOKUP(B30,[2]Трансп!A$2:CP$32,42,FALSE)/1000</f>
        <v>624.48400000000004</v>
      </c>
      <c r="G30" s="41">
        <f>VLOOKUP(B30,[2]Трансп!A$2:CP$32,46,FALSE)/1000</f>
        <v>534.01800000000003</v>
      </c>
      <c r="H30" s="41">
        <f>VLOOKUP(B30,[2]Трансп!A$2:CP$32,49,FALSE)/1000</f>
        <v>525.18899999999996</v>
      </c>
    </row>
    <row r="31" spans="2:8" x14ac:dyDescent="0.25">
      <c r="B31" t="s">
        <v>68</v>
      </c>
      <c r="C31" s="41">
        <f>VLOOKUP(B31,[2]Трансп!A$2:CP$32,44,FALSE)/1000</f>
        <v>5349.1577436600955</v>
      </c>
      <c r="D31" s="41">
        <f>VLOOKUP(B31,[2]Трансп!A$2:CP$32,48,FALSE)/1000</f>
        <v>2127.6280030700932</v>
      </c>
      <c r="E31" s="41">
        <f>VLOOKUP(B31,[2]Трансп!A$2:CP$32,51,FALSE)/1000</f>
        <v>2601.3736526600933</v>
      </c>
      <c r="F31" s="41">
        <f>VLOOKUP(B31,[2]Трансп!A$2:CP$32,42,FALSE)/1000</f>
        <v>3588.5898648299976</v>
      </c>
      <c r="G31" s="41">
        <f>VLOOKUP(B31,[2]Трансп!A$2:CP$32,46,FALSE)/1000</f>
        <v>1169.8898251500007</v>
      </c>
      <c r="H31" s="41">
        <f>VLOOKUP(B31,[2]Трансп!A$2:CP$32,49,FALSE)/1000</f>
        <v>925.85934076000046</v>
      </c>
    </row>
    <row r="32" spans="2:8" x14ac:dyDescent="0.25">
      <c r="B32" t="s">
        <v>69</v>
      </c>
      <c r="C32" s="41">
        <f>VLOOKUP(B32,[2]Трансп!A$2:CP$32,44,FALSE)/1000</f>
        <v>1795.885</v>
      </c>
      <c r="D32" s="41">
        <f>VLOOKUP(B32,[2]Трансп!A$2:CP$32,48,FALSE)/1000</f>
        <v>1014.682</v>
      </c>
      <c r="E32" s="41">
        <f>VLOOKUP(B32,[2]Трансп!A$2:CP$32,51,FALSE)/1000</f>
        <v>768.4</v>
      </c>
      <c r="F32" s="41">
        <f>VLOOKUP(B32,[2]Трансп!A$2:CP$32,42,FALSE)/1000</f>
        <v>1452.174</v>
      </c>
      <c r="G32" s="41">
        <f>VLOOKUP(B32,[2]Трансп!A$2:CP$32,46,FALSE)/1000</f>
        <v>653.64700000000005</v>
      </c>
      <c r="H32" s="41">
        <f>VLOOKUP(B32,[2]Трансп!A$2:CP$32,49,FALSE)/1000</f>
        <v>477.52499999999998</v>
      </c>
    </row>
  </sheetData>
  <mergeCells count="6">
    <mergeCell ref="J2:J3"/>
    <mergeCell ref="A2:A3"/>
    <mergeCell ref="B2:B3"/>
    <mergeCell ref="C2:E2"/>
    <mergeCell ref="F2:H2"/>
    <mergeCell ref="I2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27</vt:i4>
      </vt:variant>
    </vt:vector>
  </HeadingPairs>
  <TitlesOfParts>
    <vt:vector size="27" baseType="lpstr">
      <vt:lpstr>Т1</vt:lpstr>
      <vt:lpstr>Табл1</vt:lpstr>
      <vt:lpstr>Т2</vt:lpstr>
      <vt:lpstr>Табл2</vt:lpstr>
      <vt:lpstr>Т3</vt:lpstr>
      <vt:lpstr>Табл3</vt:lpstr>
      <vt:lpstr>Т4</vt:lpstr>
      <vt:lpstr>Табл4</vt:lpstr>
      <vt:lpstr>Т5</vt:lpstr>
      <vt:lpstr>Табл5</vt:lpstr>
      <vt:lpstr>Т6</vt:lpstr>
      <vt:lpstr>Табл6</vt:lpstr>
      <vt:lpstr>Т7</vt:lpstr>
      <vt:lpstr>Табл7-</vt:lpstr>
      <vt:lpstr>Табл7</vt:lpstr>
      <vt:lpstr>Т8</vt:lpstr>
      <vt:lpstr>Табл8</vt:lpstr>
      <vt:lpstr>Т9-1</vt:lpstr>
      <vt:lpstr>Табл9-1</vt:lpstr>
      <vt:lpstr>Т10-1</vt:lpstr>
      <vt:lpstr>Табл10-1</vt:lpstr>
      <vt:lpstr>Т11</vt:lpstr>
      <vt:lpstr>Табл9</vt:lpstr>
      <vt:lpstr>Т12</vt:lpstr>
      <vt:lpstr>Т13</vt:lpstr>
      <vt:lpstr>Табл11</vt:lpstr>
      <vt:lpstr>Табл10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Романов Евгений</dc:creator>
  <cp:lastModifiedBy>Уклеин Иван</cp:lastModifiedBy>
  <dcterms:created xsi:type="dcterms:W3CDTF">2015-06-05T18:19:34Z</dcterms:created>
  <dcterms:modified xsi:type="dcterms:W3CDTF">2022-04-20T06:27:55Z</dcterms:modified>
</cp:coreProperties>
</file>